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sjett 2025" sheetId="1" r:id="rId4"/>
    <sheet state="visible" name="Medlemskontigent" sheetId="2" r:id="rId5"/>
    <sheet state="visible" name="Driftstilskudd" sheetId="3" r:id="rId6"/>
    <sheet state="visible" name="Treningsbudsjett" sheetId="4" r:id="rId7"/>
    <sheet state="visible" name="Arrangement" sheetId="5" r:id="rId8"/>
    <sheet state="visible" name="Kurs" sheetId="6" r:id="rId9"/>
    <sheet state="visible" name="Forsikring" sheetId="7" r:id="rId10"/>
    <sheet state="visible" name="Øvrige " sheetId="8" r:id="rId11"/>
  </sheets>
  <definedNames>
    <definedName name="feriepengesats">'Budsjett 2025'!$B$6</definedName>
    <definedName hidden="1" localSheetId="3" name="_xlnm._FilterDatabase">Treningsbudsjett!$I$18:$K$27</definedName>
    <definedName hidden="1" name="Google_Sheet_Link_1169062627">feriepengesats</definedName>
  </definedNames>
  <calcPr/>
  <extLst>
    <ext uri="GoogleSheetsCustomDataVersion2">
      <go:sheetsCustomData xmlns:go="http://customooxmlschemas.google.com/" r:id="rId12" roundtripDataChecksum="h4namJ++YRYMFZyfhODCVZ6iovshgZlMcabiUAmpIl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65">
      <text>
        <t xml:space="preserve">======
ID#AAABsfgCGPc
Bratte Rogalands Venner    (2025-10-15 10:11:00)
20.000 mindre i driftsresultat pga vi hadde glemt å summere inn 20k i utgifter i 2025 budsjettet.</t>
      </text>
    </comment>
    <comment authorId="0" ref="B46">
      <text>
        <t xml:space="preserve">======
ID#AAABAqO9YyA
Bratte Rogalands Venner    (2023-11-17 08:51:53)
se arket "Øvrige" for oversikt</t>
      </text>
    </comment>
  </commentList>
  <extLst>
    <ext uri="GoogleSheetsCustomDataVersion2">
      <go:sheetsCustomData xmlns:go="http://customooxmlschemas.google.com/" r:id="rId1" roundtripDataSignature="AMtx7mhhNjuT+2/0ebLA/SlNggfyrzkOL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6">
      <text>
        <t xml:space="preserve">======
ID#AAABw0G7-0Y
Bratte Rogalands Venner    (2025-11-28 09:13:27)
må først ha årsregnskapet</t>
      </text>
    </comment>
  </commentList>
  <extLst>
    <ext uri="GoogleSheetsCustomDataVersion2">
      <go:sheetsCustomData xmlns:go="http://customooxmlschemas.google.com/" r:id="rId1" roundtripDataSignature="AMtx7mi0elf3OwFmMFiDnL+2dS87a3iNNQ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Q10">
      <text>
        <t xml:space="preserve">======
ID#AAABw5kCYjo
Bratte Rogalands Venner    (2025-12-01 06:53:11)
økt med en deltaker 2026 - para</t>
      </text>
    </comment>
    <comment authorId="0" ref="F20">
      <text>
        <t xml:space="preserve">======
ID#AAABeZEZiT4
Erika Berle    (2025-02-19 06:53:07)
Fordelingsnøkkel: hvor stor andel av lønn er ren lønn (89.2%) og hvor stor andel er feriepenger.</t>
      </text>
    </comment>
  </commentList>
  <extLst>
    <ext uri="GoogleSheetsCustomDataVersion2">
      <go:sheetsCustomData xmlns:go="http://customooxmlschemas.google.com/" r:id="rId1" roundtripDataSignature="AMtx7mgMi+fLcci/Hb6nJdpOTsHgH1vdjg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2">
      <text>
        <t xml:space="preserve">======
ID#AAABw0G7-0c
Bratte Rogalands Venner    (2025-11-28 09:36:31)
ser denne grei ut @jostein.oygarden@gmail.com eller har den økt i pris?
------
ID#AAABw6B1M3A
Jostein Øygarden    (2025-12-01 12:22:17)
Prisene har stått så og si stille i 18 måneder. Har ikke finregnet på dette, men tenker vi kan ha samme pris denne gangen også ja</t>
      </text>
    </comment>
  </commentList>
  <extLst>
    <ext uri="GoogleSheetsCustomDataVersion2">
      <go:sheetsCustomData xmlns:go="http://customooxmlschemas.google.com/" r:id="rId1" roundtripDataSignature="AMtx7mhMa5T9fQdQbOnyqC+e+a5EdQNYiA=="/>
    </ext>
  </extLst>
</comments>
</file>

<file path=xl/sharedStrings.xml><?xml version="1.0" encoding="utf-8"?>
<sst xmlns="http://schemas.openxmlformats.org/spreadsheetml/2006/main" count="370" uniqueCount="328">
  <si>
    <t>Årsbudsjett 2026 - BRV</t>
  </si>
  <si>
    <t>Bratte Rogalands Venner</t>
  </si>
  <si>
    <t>Forutsettninger for budsjettet ligger beskrevet i fanene</t>
  </si>
  <si>
    <t xml:space="preserve">Feriepengesats: </t>
  </si>
  <si>
    <r>
      <rPr>
        <rFont val="Calibri"/>
        <color rgb="FF000000"/>
        <sz val="10.0"/>
      </rPr>
      <t>   </t>
    </r>
    <r>
      <rPr>
        <rFont val="Calibri"/>
        <b/>
        <color rgb="FF000000"/>
        <sz val="10.0"/>
      </rPr>
      <t>Driftsinntekter</t>
    </r>
  </si>
  <si>
    <t>Budsjett 2026</t>
  </si>
  <si>
    <t>Regnskap 2025</t>
  </si>
  <si>
    <t>2025 Budsjett</t>
  </si>
  <si>
    <t>Differanse budsjett 2025 mot regnskapstall 2025</t>
  </si>
  <si>
    <r>
      <rPr>
        <rFont val="Calibri"/>
        <color rgb="FF000000"/>
        <sz val="10.0"/>
      </rPr>
      <t>      </t>
    </r>
    <r>
      <rPr>
        <rFont val="Calibri"/>
        <b/>
        <color rgb="FF000000"/>
        <sz val="10.0"/>
      </rPr>
      <t>Salgsinntekter</t>
    </r>
  </si>
  <si>
    <t>         3100 Treningsavgift</t>
  </si>
  <si>
    <t>         3200 Medlemskontingent</t>
  </si>
  <si>
    <t>         3201 Kurs</t>
  </si>
  <si>
    <t>         3210 Grasrotandel</t>
  </si>
  <si>
    <t>Basert på tall fra de siste tre årene</t>
  </si>
  <si>
    <t>         3250 Utstyr</t>
  </si>
  <si>
    <t>         3260 Utleie av utstyr</t>
  </si>
  <si>
    <t>Utleie av pads og støtte av nettfører (derav penger fra de andre klubbene som bruker nettførersystemene våre)</t>
  </si>
  <si>
    <t xml:space="preserve">         3270 Salg av klær</t>
  </si>
  <si>
    <t>Salg av skjorter, gensere og caps</t>
  </si>
  <si>
    <t>         3280 Billetter</t>
  </si>
  <si>
    <t>Alle arrangement med inntekter (utenom årsfest) føres her</t>
  </si>
  <si>
    <r>
      <rPr>
        <rFont val="Calibri"/>
        <color rgb="FF000000"/>
        <sz val="10.0"/>
      </rPr>
      <t>      </t>
    </r>
    <r>
      <rPr>
        <rFont val="Calibri"/>
        <b/>
        <color rgb="FF000000"/>
        <sz val="10.0"/>
      </rPr>
      <t>Salgsinntekter</t>
    </r>
  </si>
  <si>
    <t>salgsinntekter</t>
  </si>
  <si>
    <r>
      <rPr>
        <rFont val="Calibri"/>
        <color rgb="FF000000"/>
        <sz val="10.0"/>
      </rPr>
      <t>      </t>
    </r>
    <r>
      <rPr>
        <rFont val="Calibri"/>
        <b/>
        <color rgb="FF000000"/>
        <sz val="10.0"/>
      </rPr>
      <t>Annen driftsinntekt</t>
    </r>
  </si>
  <si>
    <t>         3440 Tilskudd</t>
  </si>
  <si>
    <t>Se egen fane "Driftstilskudd"</t>
  </si>
  <si>
    <t>         3500 Årsfest</t>
  </si>
  <si>
    <t>        * 3510 Inntekt fra reklame og sponsing</t>
  </si>
  <si>
    <t>         3550 Gaver</t>
  </si>
  <si>
    <r>
      <rPr>
        <rFont val="Calibri"/>
        <color rgb="FF000000"/>
        <sz val="10.0"/>
      </rPr>
      <t>      </t>
    </r>
    <r>
      <rPr>
        <rFont val="Calibri"/>
        <b/>
        <color rgb="FF000000"/>
        <sz val="10.0"/>
      </rPr>
      <t>Annen driftsinntekt</t>
    </r>
  </si>
  <si>
    <t>annen driftsinntekt</t>
  </si>
  <si>
    <r>
      <rPr>
        <rFont val="Calibri"/>
        <color rgb="FF000000"/>
        <sz val="10.0"/>
      </rPr>
      <t>   </t>
    </r>
    <r>
      <rPr>
        <rFont val="Calibri"/>
        <b/>
        <color rgb="FF000000"/>
        <sz val="10.0"/>
      </rPr>
      <t>Driftsinntekter</t>
    </r>
  </si>
  <si>
    <r>
      <rPr>
        <rFont val="Calibri"/>
        <color rgb="FF000000"/>
        <sz val="10.0"/>
      </rPr>
      <t>   </t>
    </r>
    <r>
      <rPr>
        <rFont val="Calibri"/>
        <b/>
        <color rgb="FF000000"/>
        <sz val="10.0"/>
      </rPr>
      <t>Driftsinntekter diff</t>
    </r>
  </si>
  <si>
    <r>
      <rPr>
        <rFont val="Calibri"/>
        <color rgb="FF000000"/>
        <sz val="10.0"/>
      </rPr>
      <t>   </t>
    </r>
    <r>
      <rPr>
        <rFont val="Calibri"/>
        <b/>
        <color rgb="FF000000"/>
        <sz val="10.0"/>
      </rPr>
      <t>Driftskostnader</t>
    </r>
  </si>
  <si>
    <r>
      <rPr>
        <rFont val="Calibri"/>
        <color rgb="FF000000"/>
        <sz val="10.0"/>
      </rPr>
      <t>      </t>
    </r>
    <r>
      <rPr>
        <rFont val="Calibri"/>
        <b/>
        <color rgb="FF000000"/>
        <sz val="10.0"/>
      </rPr>
      <t>Varekostnad</t>
    </r>
  </si>
  <si>
    <t>         4010 Kurs</t>
  </si>
  <si>
    <t>Utgifter i tilknytning til kurs, som kursavgift for nye BRV instruktører og idrettsprosjektet til NIF vi fikk midler for</t>
  </si>
  <si>
    <t>         4210 Treningsutgifter</t>
  </si>
  <si>
    <t xml:space="preserve">Se arket "treningsbudsjett" for detaljer. </t>
  </si>
  <si>
    <t>         4220 Konkurranse, reiser</t>
  </si>
  <si>
    <t>Satt av til å dekke reise/opphold for trener på ca 6 konkurranser i året. 6 av de 36 er overført til post bilgodtgjørelse</t>
  </si>
  <si>
    <t>         4230 Sosiale utgifter, møter samlinger</t>
  </si>
  <si>
    <t>40.000 til utgifter knyttet til sosiale arrangement (foredragsholder, leie lokale, film ol.). Resterende beløp kan disponeres til årsfest</t>
  </si>
  <si>
    <t>         4500 Årsfest</t>
  </si>
  <si>
    <t xml:space="preserve">Klubben støtter med 20000 i tillegg til det som hentes fra billett inntekter. </t>
  </si>
  <si>
    <r>
      <rPr>
        <rFont val="Calibri"/>
        <color rgb="FF000000"/>
        <sz val="10.0"/>
      </rPr>
      <t>      </t>
    </r>
    <r>
      <rPr>
        <rFont val="Calibri"/>
        <b/>
        <color rgb="FF000000"/>
        <sz val="10.0"/>
      </rPr>
      <t>Varekostnad</t>
    </r>
  </si>
  <si>
    <t>varekostnad</t>
  </si>
  <si>
    <r>
      <rPr>
        <rFont val="Calibri"/>
        <color rgb="FF000000"/>
        <sz val="10.0"/>
      </rPr>
      <t>      </t>
    </r>
    <r>
      <rPr>
        <rFont val="Calibri"/>
        <b/>
        <color rgb="FF000000"/>
        <sz val="10.0"/>
      </rPr>
      <t>Lønnskostnad</t>
    </r>
  </si>
  <si>
    <t xml:space="preserve">         5000 Lønn til ansatte </t>
  </si>
  <si>
    <t xml:space="preserve">Lønn til DL. Inkl 15.000 i pensjonskompensasjon. </t>
  </si>
  <si>
    <t xml:space="preserve">         5010 Timelønn </t>
  </si>
  <si>
    <t>Lønnsutgifter for kurs, trenere og vikarer, endring: inkluderer ikke lenger feriepenger</t>
  </si>
  <si>
    <t xml:space="preserve">         5020 Feriepenger (12%) </t>
  </si>
  <si>
    <t>Feriepenger for både fastansatte - brukte lønn til ansatte fra regnskapet i fjor som et estimat for feriepenger i år og timelønnede</t>
  </si>
  <si>
    <t>         5400 Arbeidsgiveravgift (14.1%) (kun fastansatte)</t>
  </si>
  <si>
    <t>Beregnes av lønn ansatte + feriepenger ansatte</t>
  </si>
  <si>
    <t xml:space="preserve">         5990 Gave ansatte, fradagsberettighet</t>
  </si>
  <si>
    <t>Telefonabonnement daglig leder</t>
  </si>
  <si>
    <t>         7100 Bilgodtgjørelse oppgavepliktig</t>
  </si>
  <si>
    <t>Ny fra 2025. Se fanen "øvrige". Dette inkl også 6000kr for trenerreiser</t>
  </si>
  <si>
    <r>
      <rPr>
        <rFont val="Calibri"/>
        <color rgb="FF000000"/>
        <sz val="10.0"/>
      </rPr>
      <t>      </t>
    </r>
    <r>
      <rPr>
        <rFont val="Calibri"/>
        <b/>
        <color rgb="FF000000"/>
        <sz val="10.0"/>
      </rPr>
      <t>Lønnskostnad</t>
    </r>
  </si>
  <si>
    <t>Lønnskostnad</t>
  </si>
  <si>
    <r>
      <rPr>
        <rFont val="Calibri"/>
        <color rgb="FF000000"/>
        <sz val="10.0"/>
      </rPr>
      <t>      </t>
    </r>
    <r>
      <rPr>
        <rFont val="Calibri"/>
        <b/>
        <color rgb="FF000000"/>
        <sz val="10.0"/>
      </rPr>
      <t>Annen driftskostnad</t>
    </r>
  </si>
  <si>
    <t>         6300 Leie lokale</t>
  </si>
  <si>
    <t>Til feks årsmøte</t>
  </si>
  <si>
    <t>        * 6400 Leie av maskiner</t>
  </si>
  <si>
    <t>Liftleie til NM</t>
  </si>
  <si>
    <t>         6420 Leie datasystemer</t>
  </si>
  <si>
    <t>Serverplass brv.no, mail og nettførere samt regnskapssystem og nettbutikk, Google One konto for tilstrekkelig kapasitet på BRVs skylagring og epost</t>
  </si>
  <si>
    <t>         * 6490 Annen leiekostnad</t>
  </si>
  <si>
    <t>Lysleie til NM</t>
  </si>
  <si>
    <t>         6620 Reparasjon og vedlikehold av utstyr</t>
  </si>
  <si>
    <t>se treningsbudsjett (inkl i utstyrsbudsjettet)</t>
  </si>
  <si>
    <t>         6700 Regnskapshonorar</t>
  </si>
  <si>
    <t>Prisen økter med 5% i 2024, men antall timer vi bruker på regnskap har gått ned det siste året, derfor reduseres summen på denne posten</t>
  </si>
  <si>
    <t>         6800 Kontorrekvisita</t>
  </si>
  <si>
    <t>         6810 Data/EDB-kostnad</t>
  </si>
  <si>
    <t>PC, skjerm og lignende</t>
  </si>
  <si>
    <t>         6860 Møte, kurs, oppdatering o.l.</t>
  </si>
  <si>
    <t>Se arket "Øvrige". Kompetanseheving fast ansatte, utgifter til dugnader og styremøter.</t>
  </si>
  <si>
    <t>         6870 Medlemsskap NKF</t>
  </si>
  <si>
    <t>Basert på 1050 medlemmer, 20kr hodet</t>
  </si>
  <si>
    <t>         6900 Telefon</t>
  </si>
  <si>
    <t>kontantkort BRV telefon.  Telefon DL ligger på post 5990</t>
  </si>
  <si>
    <t>         7300 Utstyr</t>
  </si>
  <si>
    <t>Tau, taubrems og sko til treningsgruppene og til kursbruk. Også drill og utstyr til utebruk</t>
  </si>
  <si>
    <t>         7305 Diverse utgifter</t>
  </si>
  <si>
    <t>Småinnkjøp av DL</t>
  </si>
  <si>
    <t>         7310 Bolting</t>
  </si>
  <si>
    <t>Utvikling og vedlikehold av klatrefelt, herunder bolter og annet materiell</t>
  </si>
  <si>
    <t>         7320 Reklamekostnad</t>
  </si>
  <si>
    <t>Klubbtøy 2026 og annet merch</t>
  </si>
  <si>
    <t>         7420 Gave, fradragsberettiget</t>
  </si>
  <si>
    <t xml:space="preserve">julegave trenere og folkekort senioransvarlig (4000kr) </t>
  </si>
  <si>
    <t>         7500 Forsikringspremie</t>
  </si>
  <si>
    <t>Inkluderer egenandel på 10.000</t>
  </si>
  <si>
    <t>         7770 Bank og kortgebyrer</t>
  </si>
  <si>
    <t>økte utgifter her</t>
  </si>
  <si>
    <t>        * 7790 Annen kostnad, fradragsberettiget</t>
  </si>
  <si>
    <t>NM</t>
  </si>
  <si>
    <r>
      <rPr>
        <rFont val="Calibri"/>
        <color rgb="FF000000"/>
        <sz val="10.0"/>
      </rPr>
      <t>      </t>
    </r>
    <r>
      <rPr>
        <rFont val="Calibri"/>
        <b/>
        <color rgb="FF000000"/>
        <sz val="10.0"/>
      </rPr>
      <t>Annen driftskostnad</t>
    </r>
  </si>
  <si>
    <t>Annen driftskostnad</t>
  </si>
  <si>
    <r>
      <rPr>
        <rFont val="Calibri"/>
        <color rgb="FF000000"/>
        <sz val="10.0"/>
      </rPr>
      <t>   </t>
    </r>
    <r>
      <rPr>
        <rFont val="Calibri"/>
        <b/>
        <color rgb="FF000000"/>
        <sz val="10.0"/>
      </rPr>
      <t>Driftskostnader</t>
    </r>
  </si>
  <si>
    <r>
      <rPr>
        <rFont val="Calibri"/>
        <color rgb="FF000000"/>
        <sz val="10.0"/>
      </rPr>
      <t>   </t>
    </r>
    <r>
      <rPr>
        <rFont val="Calibri"/>
        <b/>
        <color rgb="FF000000"/>
        <sz val="10.0"/>
      </rPr>
      <t>Driftskostnader diff</t>
    </r>
  </si>
  <si>
    <t>Driftsresultat</t>
  </si>
  <si>
    <t>Sum diff budsjett og regnskap 2025</t>
  </si>
  <si>
    <t>Samlet inntekt over budsjett</t>
  </si>
  <si>
    <t>Samlet utgifter under budsjett</t>
  </si>
  <si>
    <t>Sum overskudd:</t>
  </si>
  <si>
    <t xml:space="preserve">Medlemskontigent </t>
  </si>
  <si>
    <t>Pris</t>
  </si>
  <si>
    <t xml:space="preserve">Antall </t>
  </si>
  <si>
    <t>sum</t>
  </si>
  <si>
    <t>Voksen 18+ år</t>
  </si>
  <si>
    <t>Barn 0-17 år</t>
  </si>
  <si>
    <t>Betalingsgebyr</t>
  </si>
  <si>
    <t>Sum totalt</t>
  </si>
  <si>
    <t>Oversikt tilskudd og midler - post 3440</t>
  </si>
  <si>
    <t xml:space="preserve">Tilleggsinfo og forventet utbetaling basert på fjoråret </t>
  </si>
  <si>
    <t>Lokale aktivitetsmidler (LAM) fra NIF - se utregning under</t>
  </si>
  <si>
    <t>Utbetalt slutten av november</t>
  </si>
  <si>
    <t>Kommunale driftsmidler (via Idrettsrådet) - se utregning under</t>
  </si>
  <si>
    <t>Halve i juni og halve i des</t>
  </si>
  <si>
    <t>Tilskudd fast ansatt fra kommunen (daglig leder 60% stilling)</t>
  </si>
  <si>
    <t xml:space="preserve">Søkes på innen 1. november året før, tildeles/utbetales i mars/april </t>
  </si>
  <si>
    <t>Momskompensasjon</t>
  </si>
  <si>
    <t>Utbetales desember. Sum baserer seg på X antall prosent (8% de siste årene) av våre totale driftskostnad (lønn inkl) = kompensasjon utbetalt. Prosentsatsen kan variere fra år til år</t>
  </si>
  <si>
    <t>Sum tilskudd og midler</t>
  </si>
  <si>
    <t>Utregning lokale aktivitetsmidler (LAM) fra NIF</t>
  </si>
  <si>
    <t>Antall</t>
  </si>
  <si>
    <t>Sats 2026</t>
  </si>
  <si>
    <t>Sum</t>
  </si>
  <si>
    <t>Sats 2025</t>
  </si>
  <si>
    <t xml:space="preserve">ungdom f.o.m. 13 – t.o.m. 19 år </t>
  </si>
  <si>
    <t>oppgang fra 807</t>
  </si>
  <si>
    <t>barn f.o.m. 6 – t.o.m 12</t>
  </si>
  <si>
    <t>oppgang fra 291</t>
  </si>
  <si>
    <t>SUM</t>
  </si>
  <si>
    <t>Utregning kommunale driftmidler</t>
  </si>
  <si>
    <t>barn og ungdom 6-25</t>
  </si>
  <si>
    <t>nedgang fra 185</t>
  </si>
  <si>
    <t>Grasrotandel - post 3210</t>
  </si>
  <si>
    <t xml:space="preserve">Grasrotandel avhenger av antall mennesker som velger oss som mottaker når de spiller på Norsk Tipping. Det blir utbetalt januar, mai og september. </t>
  </si>
  <si>
    <t>Omtrentlig beløp de siste årene har vært 13.000</t>
  </si>
  <si>
    <t>NB: Vårsemesteret er 18 uker, høstsemesteret 16 uker</t>
  </si>
  <si>
    <t>Gruppene januar - desember</t>
  </si>
  <si>
    <t>Antall Uker</t>
  </si>
  <si>
    <t>Uketimer</t>
  </si>
  <si>
    <t>Trener 200</t>
  </si>
  <si>
    <t>Trener 220</t>
  </si>
  <si>
    <t>Totale lønnsutgifter</t>
  </si>
  <si>
    <t>Antall deltakere</t>
  </si>
  <si>
    <t>Semesteravgift begge semestre summert</t>
  </si>
  <si>
    <t>Sum Inntekt</t>
  </si>
  <si>
    <t>Differanse</t>
  </si>
  <si>
    <t>timepris</t>
  </si>
  <si>
    <t>Tau ungdom</t>
  </si>
  <si>
    <t xml:space="preserve">Buldring Ungdom </t>
  </si>
  <si>
    <t xml:space="preserve">Buldring 4. og 5. klasse </t>
  </si>
  <si>
    <t>Konkpakken</t>
  </si>
  <si>
    <t>Konkurransegruppen</t>
  </si>
  <si>
    <t>Støtteordninger konkgruppen 2026 og reisestøtte parautøvere</t>
  </si>
  <si>
    <t>Buldring 6. og 7. klasse</t>
  </si>
  <si>
    <t xml:space="preserve">Paraklatring </t>
  </si>
  <si>
    <t>Reisestøtte nasjonale mesterskap:</t>
  </si>
  <si>
    <t>Reisestøtte internasjonale mesterskap:</t>
  </si>
  <si>
    <t xml:space="preserve">Konktøy </t>
  </si>
  <si>
    <t>Kombi to grupper (buldring)</t>
  </si>
  <si>
    <t xml:space="preserve">Seniorklatring </t>
  </si>
  <si>
    <t>Snitt deltakelse</t>
  </si>
  <si>
    <t>Etterfylling ved behov</t>
  </si>
  <si>
    <t>6 timer adm arbeid i året for konkgruppen (konktrenerne sammen)</t>
  </si>
  <si>
    <t>Refusjon per konk</t>
  </si>
  <si>
    <t>Trenerlønn treningshelger konkgruppen</t>
  </si>
  <si>
    <t>konker i året</t>
  </si>
  <si>
    <t>Trenermøte</t>
  </si>
  <si>
    <t>Budsjettramme</t>
  </si>
  <si>
    <t>*Vikarbudsjett og lønnskompensasjon konktrenere på konkeise</t>
  </si>
  <si>
    <t>Total oversikt inntekter og kostnader for treningstilbudet</t>
  </si>
  <si>
    <t>Trening utomhus (SA/Air)</t>
  </si>
  <si>
    <t>Dekking av konkavgift:</t>
  </si>
  <si>
    <t>Reisestøtte utv landslaget</t>
  </si>
  <si>
    <t>* Vikarbudsjett 5000kr samt lønnsompensasjon for trenere på reise 3500kr x 6 konker (totalt 21.000kr)</t>
  </si>
  <si>
    <t>Drop inn pris snitt</t>
  </si>
  <si>
    <t>Deltakelse</t>
  </si>
  <si>
    <t>Refusjon per gang</t>
  </si>
  <si>
    <t>Grunnlag for beregning av treningsinntekter og lønnsutgifter:</t>
  </si>
  <si>
    <t xml:space="preserve">Øvrige kostnader relatert til trening: </t>
  </si>
  <si>
    <t>Antall ganger</t>
  </si>
  <si>
    <t>Satser inkl feriepenger</t>
  </si>
  <si>
    <t>Kroner</t>
  </si>
  <si>
    <t>Fakturagebyr treningsavgift</t>
  </si>
  <si>
    <t>Drop in tirsdagstrening SiS</t>
  </si>
  <si>
    <t>Timelønn 1</t>
  </si>
  <si>
    <t>Ren lønn</t>
  </si>
  <si>
    <t>Konkpakken (se boks høyre)</t>
  </si>
  <si>
    <t>Timelønn 2</t>
  </si>
  <si>
    <t>Feriepenger</t>
  </si>
  <si>
    <t xml:space="preserve">Refusjon trenerreiser </t>
  </si>
  <si>
    <t>Dekker reise og opphold under konkhelg for trener + treningshelger med gruppen</t>
  </si>
  <si>
    <t>Sum konkpakke</t>
  </si>
  <si>
    <t>kontroll</t>
  </si>
  <si>
    <t>Utstyr</t>
  </si>
  <si>
    <t xml:space="preserve">Tau, sko, seler, og taubrems til de gruppene som trenger det </t>
  </si>
  <si>
    <t>Sats semesteravgift</t>
  </si>
  <si>
    <t>Resåling av klatresko</t>
  </si>
  <si>
    <t>Sko til barne og paragrupper</t>
  </si>
  <si>
    <t xml:space="preserve">Tau 13-17 </t>
  </si>
  <si>
    <t>Kompetanseheving</t>
  </si>
  <si>
    <t xml:space="preserve">Trenerkurs og klatreinstruktørkurs, samt kontingent for nasjonalklubbsamlign eller trenersamling om det er aktuelt </t>
  </si>
  <si>
    <t>Julegave trenere</t>
  </si>
  <si>
    <t xml:space="preserve">Buldring 3. til 4. klasse </t>
  </si>
  <si>
    <t>Mat/drikke trenermøte</t>
  </si>
  <si>
    <t>Konkurransegruppe</t>
  </si>
  <si>
    <t>SUM idretten i BRV</t>
  </si>
  <si>
    <t xml:space="preserve">Buldring 5. til 6. klasse </t>
  </si>
  <si>
    <t>Paraklatring</t>
  </si>
  <si>
    <t>Konkurransegruppens trenerreiser, konkpakke og øvrige utgifter som ikke dekkes av egenandel fra treningsavgift finaniseres av inntekter fra breddegruppene i tråd med prinsipper fra idretten om at bredden er med å støtter opp om toppen</t>
  </si>
  <si>
    <t>Kombi tau og buldring ungdom</t>
  </si>
  <si>
    <t>For 2026 vil kostnadene til konkgruppen bli enda større så summen under "SUM idretten i BRV" må kostnadsføres under generell drift i klubben</t>
  </si>
  <si>
    <t>Seniorgruppe</t>
  </si>
  <si>
    <t>Oversikt over kostander konkgruppen</t>
  </si>
  <si>
    <t>Inntekt</t>
  </si>
  <si>
    <t>Treningsavgift</t>
  </si>
  <si>
    <t>Sum inntekt</t>
  </si>
  <si>
    <t>Utgifter*</t>
  </si>
  <si>
    <t>Refusjon trenerreiser</t>
  </si>
  <si>
    <t xml:space="preserve">Lønnskompensasjon trenere på konkreise </t>
  </si>
  <si>
    <t>Lønnsutgifter trenere fast</t>
  </si>
  <si>
    <t>Utstyr (delt med taugruppen)</t>
  </si>
  <si>
    <t>Vikarbudsjett og kompetanseheving trenere (stipulert)</t>
  </si>
  <si>
    <t>Sum utgifter</t>
  </si>
  <si>
    <t>Arrangement</t>
  </si>
  <si>
    <t xml:space="preserve">Vi setter av en sum til arrangementkomiteen kan disponere, unntaket er årsfesten som er en egen budsjettpost. Overskudd fra denne psoten kan disponeres av arrangementkomiteen til årsfest ved behov. </t>
  </si>
  <si>
    <t>Denne posten omfavner ting som</t>
  </si>
  <si>
    <t>Klatresamlinger</t>
  </si>
  <si>
    <t>Leie av lokale til årsmøte går på egen post 6300 - leie lokaler</t>
  </si>
  <si>
    <t>Klubbkvelder</t>
  </si>
  <si>
    <t>Workshops</t>
  </si>
  <si>
    <t>Foredrag</t>
  </si>
  <si>
    <t>Filmvisning</t>
  </si>
  <si>
    <t>Dugnader</t>
  </si>
  <si>
    <t>Det er stipulert 20000 i egenandel til billetter/avgift for div arrangement som går opp mot denne utgiftsposten. Dvs vi forventer å bruke 20000 på arrangement (totale utgifter)</t>
  </si>
  <si>
    <t>Kurs solgt av BRV</t>
  </si>
  <si>
    <t>* etter betalingsløsningen har tatt sin andel på litt over en 1%</t>
  </si>
  <si>
    <t>Kurstype</t>
  </si>
  <si>
    <t>Antall kurs</t>
  </si>
  <si>
    <t>Lønn per instruktør</t>
  </si>
  <si>
    <t>Utgifter Totalt</t>
  </si>
  <si>
    <t>Antall deltagere Medlem</t>
  </si>
  <si>
    <t>Antall deltagere Ikke medlem</t>
  </si>
  <si>
    <t>Inntekt Totalt</t>
  </si>
  <si>
    <t>Netto*</t>
  </si>
  <si>
    <t>Brattkort</t>
  </si>
  <si>
    <t>Lønnsatser 2026</t>
  </si>
  <si>
    <t>Inne til ute - sportsklatring</t>
  </si>
  <si>
    <t>Sats hovedinstruktør</t>
  </si>
  <si>
    <t>Sats medinstruktør</t>
  </si>
  <si>
    <t>Inne til ute - buldring</t>
  </si>
  <si>
    <t>Brattkort/oppfølgingskurs</t>
  </si>
  <si>
    <t>Tradkurs innføring 1</t>
  </si>
  <si>
    <t>Inne til ute</t>
  </si>
  <si>
    <t>om de ikke har sport 1 utdanning eller høyere</t>
  </si>
  <si>
    <t>Tradkurs viderekommende 2</t>
  </si>
  <si>
    <t>Tradkurs/kameratredning</t>
  </si>
  <si>
    <t>Klatreinstruktør inne</t>
  </si>
  <si>
    <t>Klatreinstr. inne</t>
  </si>
  <si>
    <t>Kameratredningskurs</t>
  </si>
  <si>
    <t>Timer per kurs som lønnes</t>
  </si>
  <si>
    <t>Grunnlag for inntektsberegning - deltakerpris</t>
  </si>
  <si>
    <t>Timer utbetalt inkl forberedelse og etterarbeid per instruktør</t>
  </si>
  <si>
    <t>Medlem 13-18 år</t>
  </si>
  <si>
    <t>Ikke-medlem 13-18 år</t>
  </si>
  <si>
    <t>Medlem over 18 år</t>
  </si>
  <si>
    <t>Ikke medlem over 18 år</t>
  </si>
  <si>
    <t>Fastpris Medlem alle aldre</t>
  </si>
  <si>
    <t>Fastpris Ikke medlem alle aldre</t>
  </si>
  <si>
    <t>Notat</t>
  </si>
  <si>
    <t>Inkl lån av BRV crashpads</t>
  </si>
  <si>
    <t>Tradkurs type 1</t>
  </si>
  <si>
    <t>Inkl lån av BRVs tradutstyr</t>
  </si>
  <si>
    <t>Tradkurs type 2</t>
  </si>
  <si>
    <t>Kompetanseheving instruktører - BRV dekker kursavgiften (ev mer)</t>
  </si>
  <si>
    <t>Klatreinstruktør inne og Trenerkurs går på treningsbudsjettet</t>
  </si>
  <si>
    <t>Type kurs</t>
  </si>
  <si>
    <t>antall</t>
  </si>
  <si>
    <t>kursavgift/støtte</t>
  </si>
  <si>
    <t>* Kursing av ny tradinstruktør</t>
  </si>
  <si>
    <t>Sport 1</t>
  </si>
  <si>
    <t>Kurslærer KII</t>
  </si>
  <si>
    <t>* Prising av tradutdannelse</t>
  </si>
  <si>
    <t>Pris totalt: 7500 metodekurs +7500 veilederkurs</t>
  </si>
  <si>
    <t>BRV betaler for de to kursene. Resten får deltaker ta på egen regning</t>
  </si>
  <si>
    <t xml:space="preserve">Fordeling av lønn og feriepenger </t>
  </si>
  <si>
    <t>ren lønn</t>
  </si>
  <si>
    <t>feriepenger</t>
  </si>
  <si>
    <t>Detaljer om nåværende forsikring per januar 2026 - avtaleperiode 20.1.26 - 20.1.27</t>
  </si>
  <si>
    <t>Grunnpris og gjenstående sum fra tidligere avtaleperiode</t>
  </si>
  <si>
    <t xml:space="preserve">Ansvar for styret </t>
  </si>
  <si>
    <t>Ansvarsforsikring</t>
  </si>
  <si>
    <t>Dugnad, organisasjoner, klubb/korps (1030 medlemmer)</t>
  </si>
  <si>
    <t>kriminalitet</t>
  </si>
  <si>
    <t>personal- med antallsoppgave</t>
  </si>
  <si>
    <t>Rettshjelpsforsikring</t>
  </si>
  <si>
    <t>Egenandel</t>
  </si>
  <si>
    <t>Øvrige utgifter i perioden</t>
  </si>
  <si>
    <t>7310 bolting</t>
  </si>
  <si>
    <t>Ingen spesifikke søknader på bordet per februar 2026</t>
  </si>
  <si>
    <t>Budsjett utvikling og vedlikehold av klatrefelt, herunder bolter og annet materiell</t>
  </si>
  <si>
    <t>6860 Møte, kurs, oppdatering o.l.</t>
  </si>
  <si>
    <t>Styremøter</t>
  </si>
  <si>
    <t>Dugnadsmat</t>
  </si>
  <si>
    <t>Kompetanseheving fast ansatt</t>
  </si>
  <si>
    <t>6420 Leie datasystemer</t>
  </si>
  <si>
    <t>Regnskapssystem tripletex</t>
  </si>
  <si>
    <t>* Serverplass brv.no, mail og nettførere</t>
  </si>
  <si>
    <t>Nettbutikk Tidypay</t>
  </si>
  <si>
    <t>Google One konto for BRVs skylagring og epost</t>
  </si>
  <si>
    <t xml:space="preserve">* omtrent 7200 av disse legger vi ut for andre klubber som benytter seg av nettførersystemene våre, og ber de refundere. </t>
  </si>
  <si>
    <t>Dette er lagt inn som inntekt på post 3260 "Utleie av utstyr"</t>
  </si>
  <si>
    <t>5000 lønn ansatte</t>
  </si>
  <si>
    <t>Grunnlønn fast ansatt</t>
  </si>
  <si>
    <t>Pensjon</t>
  </si>
  <si>
    <t>BRV er ikke pensjonspliktig, men for å kompensere DL for manglende pensjon har det blitt vedtatt at 15.000 utbetales årlig og settes på IPS konto</t>
  </si>
  <si>
    <t>Sum lønn daglig leder inkl pensjon</t>
  </si>
  <si>
    <t>Kjøregodtgjørelse DL</t>
  </si>
  <si>
    <t>Utbetales som lønn, men vi velger det skattefrie trekkbeløpet 3,50 kr km. Skal likevel innrapporteres, derav egen post (7100)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</si>
</sst>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"/>
    <numFmt numFmtId="165" formatCode="0.0"/>
    <numFmt numFmtId="166" formatCode="#,##0&quot;kr&quot;"/>
    <numFmt numFmtId="167" formatCode="#,##0.00\ [$kr-414]"/>
  </numFmts>
  <fonts count="48">
    <font>
      <sz val="11.0"/>
      <color rgb="FF000000"/>
      <name val="Calibri"/>
      <scheme val="minor"/>
    </font>
    <font>
      <b/>
      <sz val="15.0"/>
      <color rgb="FF000000"/>
      <name val="Calibri"/>
    </font>
    <font>
      <color theme="1"/>
      <name val="Calibri"/>
    </font>
    <font>
      <b/>
      <color theme="1"/>
      <name val="Calibri"/>
    </font>
    <font>
      <b/>
      <sz val="12.0"/>
      <color rgb="FF000000"/>
      <name val="Calibri"/>
    </font>
    <font>
      <sz val="14.0"/>
      <color theme="1"/>
      <name val="Calibri"/>
    </font>
    <font>
      <sz val="10.0"/>
      <color theme="1"/>
      <name val="Calibri"/>
    </font>
    <font>
      <sz val="12.0"/>
      <color rgb="FF363636"/>
      <name val="Arial"/>
    </font>
    <font>
      <strike/>
      <color theme="1"/>
      <name val="Calibri"/>
    </font>
    <font>
      <b/>
      <strike/>
      <color theme="1"/>
      <name val="Calibri"/>
    </font>
    <font>
      <sz val="11.0"/>
      <color theme="1"/>
      <name val="Calibri"/>
    </font>
    <font>
      <i/>
      <color theme="1"/>
      <name val="Calibri"/>
    </font>
    <font>
      <strike/>
      <color theme="1"/>
      <name val="Calibri"/>
      <scheme val="minor"/>
    </font>
    <font>
      <sz val="10.0"/>
      <color rgb="FF000000"/>
      <name val="Calibri"/>
    </font>
    <font>
      <b/>
      <sz val="10.0"/>
      <color rgb="FF000000"/>
      <name val="Calibri"/>
    </font>
    <font>
      <sz val="11.0"/>
      <color rgb="FF000000"/>
      <name val="Calibri"/>
    </font>
    <font>
      <sz val="10.0"/>
      <color rgb="FF000000"/>
      <name val="Arial"/>
    </font>
    <font>
      <b/>
      <sz val="11.0"/>
      <color rgb="FF000000"/>
      <name val="Calibri"/>
    </font>
    <font>
      <b/>
      <i/>
      <sz val="11.0"/>
      <color theme="1"/>
      <name val="Calibri"/>
    </font>
    <font>
      <b/>
      <color theme="1"/>
      <name val="Calibri"/>
      <scheme val="minor"/>
    </font>
    <font>
      <i/>
      <sz val="11.0"/>
      <color rgb="FF000000"/>
      <name val="Calibri"/>
    </font>
    <font>
      <color theme="1"/>
      <name val="Calibri"/>
      <scheme val="minor"/>
    </font>
    <font>
      <b/>
      <sz val="11.0"/>
      <color theme="1"/>
      <name val="Calibri"/>
    </font>
    <font>
      <color rgb="FF222222"/>
      <name val="Arial"/>
    </font>
    <font>
      <b/>
      <i/>
      <color theme="1"/>
      <name val="Calibri"/>
    </font>
    <font>
      <i/>
      <sz val="10.0"/>
      <color rgb="FF000000"/>
      <name val="Calibri"/>
    </font>
    <font>
      <b/>
      <i/>
      <sz val="10.0"/>
      <color rgb="FF000000"/>
      <name val="Calibri"/>
    </font>
    <font>
      <b/>
      <sz val="10.0"/>
      <color theme="1"/>
      <name val="Calibri"/>
    </font>
    <font>
      <i/>
      <sz val="10.0"/>
      <color theme="1"/>
      <name val="Calibri"/>
    </font>
    <font/>
    <font>
      <strike/>
      <sz val="10.0"/>
      <color rgb="FF000000"/>
      <name val="Calibri"/>
    </font>
    <font>
      <strike/>
      <sz val="11.0"/>
      <color theme="1"/>
      <name val="Calibri"/>
    </font>
    <font>
      <strike/>
      <sz val="11.0"/>
      <color theme="1"/>
      <name val="Inconsolata"/>
    </font>
    <font>
      <strike/>
      <sz val="11.0"/>
      <color theme="1"/>
      <name val="Arial"/>
    </font>
    <font>
      <strike/>
      <sz val="9.0"/>
      <color rgb="FF1F1F1F"/>
      <name val="Google Sans"/>
    </font>
    <font>
      <strike/>
      <sz val="10.0"/>
      <color theme="1"/>
      <name val="Calibri"/>
    </font>
    <font>
      <b/>
      <i/>
      <sz val="10.0"/>
      <color theme="1"/>
      <name val="Calibri"/>
    </font>
    <font>
      <b/>
      <sz val="13.0"/>
      <color theme="1"/>
      <name val="Calibri"/>
    </font>
    <font>
      <color theme="1"/>
      <name val="Arial"/>
    </font>
    <font>
      <b/>
      <color theme="1"/>
      <name val="Arial"/>
    </font>
    <font>
      <sz val="11.0"/>
      <color rgb="FF1F1F1F"/>
      <name val="Arial"/>
    </font>
    <font>
      <color rgb="FF000000"/>
      <name val="Calibri"/>
    </font>
    <font>
      <sz val="9.0"/>
      <color rgb="FF1F1F1F"/>
      <name val="Arial"/>
    </font>
    <font>
      <i/>
      <sz val="11.0"/>
      <color theme="1"/>
      <name val="Calibri"/>
    </font>
    <font>
      <sz val="9.0"/>
      <color rgb="FF000000"/>
      <name val="Helvetica"/>
    </font>
    <font>
      <sz val="11.0"/>
      <color rgb="FF1F1F1F"/>
      <name val="Calibri"/>
    </font>
    <font>
      <b/>
      <sz val="15.0"/>
      <color theme="1"/>
      <name val="Calibri"/>
    </font>
    <font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2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ck">
        <color rgb="FF000000"/>
      </bottom>
    </border>
    <border>
      <bottom style="double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ck">
        <color rgb="FF000000"/>
      </top>
    </border>
    <border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top style="thin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307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readingOrder="0" vertical="center"/>
    </xf>
    <xf borderId="0" fillId="2" fontId="2" numFmtId="3" xfId="0" applyAlignment="1" applyFill="1" applyFont="1" applyNumberForma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readingOrder="0" vertical="center"/>
    </xf>
    <xf borderId="0" fillId="0" fontId="2" numFmtId="0" xfId="0" applyAlignment="1" applyFont="1">
      <alignment readingOrder="0" vertical="center"/>
    </xf>
    <xf borderId="0" fillId="0" fontId="4" numFmtId="49" xfId="0" applyAlignment="1" applyFont="1" applyNumberFormat="1">
      <alignment vertical="center"/>
    </xf>
    <xf borderId="0" fillId="2" fontId="5" numFmtId="3" xfId="0" applyAlignment="1" applyFont="1" applyNumberFormat="1">
      <alignment vertical="center"/>
    </xf>
    <xf borderId="0" fillId="0" fontId="6" numFmtId="0" xfId="0" applyAlignment="1" applyFont="1">
      <alignment readingOrder="0"/>
    </xf>
    <xf borderId="0" fillId="0" fontId="7" numFmtId="0" xfId="0" applyAlignment="1" applyFont="1">
      <alignment horizontal="left" readingOrder="0"/>
    </xf>
    <xf borderId="0" fillId="0" fontId="8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0" fillId="0" fontId="8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8" numFmtId="0" xfId="0" applyFont="1"/>
    <xf borderId="0" fillId="0" fontId="10" numFmtId="0" xfId="0" applyAlignment="1" applyFont="1">
      <alignment vertical="center"/>
    </xf>
    <xf borderId="0" fillId="0" fontId="8" numFmtId="0" xfId="0" applyAlignment="1" applyFont="1">
      <alignment readingOrder="0"/>
    </xf>
    <xf borderId="1" fillId="0" fontId="11" numFmtId="0" xfId="0" applyAlignment="1" applyBorder="1" applyFont="1">
      <alignment vertical="center"/>
    </xf>
    <xf borderId="2" fillId="2" fontId="11" numFmtId="10" xfId="0" applyAlignment="1" applyBorder="1" applyFont="1" applyNumberFormat="1">
      <alignment vertical="center"/>
    </xf>
    <xf borderId="0" fillId="0" fontId="12" numFmtId="0" xfId="0" applyAlignment="1" applyFont="1">
      <alignment readingOrder="0"/>
    </xf>
    <xf borderId="0" fillId="0" fontId="4" numFmtId="49" xfId="0" applyAlignment="1" applyFont="1" applyNumberFormat="1">
      <alignment shrinkToFit="0" vertical="center" wrapText="1"/>
    </xf>
    <xf borderId="0" fillId="2" fontId="4" numFmtId="3" xfId="0" applyAlignment="1" applyFont="1" applyNumberFormat="1">
      <alignment shrinkToFit="0" vertical="center" wrapText="1"/>
    </xf>
    <xf borderId="0" fillId="0" fontId="2" numFmtId="0" xfId="0" applyFont="1"/>
    <xf borderId="0" fillId="0" fontId="13" numFmtId="0" xfId="0" applyAlignment="1" applyFont="1">
      <alignment shrinkToFit="0" vertical="center" wrapText="1"/>
    </xf>
    <xf borderId="0" fillId="2" fontId="14" numFmtId="3" xfId="0" applyAlignment="1" applyFont="1" applyNumberFormat="1">
      <alignment horizontal="right" readingOrder="0" shrinkToFit="0" vertical="center" wrapText="1"/>
    </xf>
    <xf borderId="0" fillId="0" fontId="14" numFmtId="0" xfId="0" applyAlignment="1" applyFont="1">
      <alignment horizontal="right" readingOrder="0" shrinkToFit="0" vertical="center" wrapText="1"/>
    </xf>
    <xf borderId="0" fillId="3" fontId="14" numFmtId="0" xfId="0" applyAlignment="1" applyFill="1" applyFont="1">
      <alignment horizontal="right" readingOrder="0" shrinkToFit="0" vertical="center" wrapText="1"/>
    </xf>
    <xf borderId="3" fillId="0" fontId="2" numFmtId="0" xfId="0" applyAlignment="1" applyBorder="1" applyFont="1">
      <alignment vertical="center"/>
    </xf>
    <xf borderId="3" fillId="0" fontId="3" numFmtId="0" xfId="0" applyAlignment="1" applyBorder="1" applyFont="1">
      <alignment readingOrder="0" vertical="center"/>
    </xf>
    <xf borderId="3" fillId="0" fontId="2" numFmtId="0" xfId="0" applyBorder="1" applyFont="1"/>
    <xf borderId="4" fillId="0" fontId="13" numFmtId="0" xfId="0" applyAlignment="1" applyBorder="1" applyFont="1">
      <alignment shrinkToFit="0" vertical="center" wrapText="1"/>
    </xf>
    <xf borderId="4" fillId="0" fontId="15" numFmtId="3" xfId="0" applyAlignment="1" applyBorder="1" applyFont="1" applyNumberFormat="1">
      <alignment shrinkToFit="0" vertical="center" wrapText="1"/>
    </xf>
    <xf borderId="0" fillId="0" fontId="13" numFmtId="0" xfId="0" applyAlignment="1" applyFont="1">
      <alignment vertical="center"/>
    </xf>
    <xf borderId="0" fillId="0" fontId="13" numFmtId="3" xfId="0" applyAlignment="1" applyFont="1" applyNumberFormat="1">
      <alignment shrinkToFit="0" vertical="center" wrapText="1"/>
    </xf>
    <xf borderId="0" fillId="0" fontId="13" numFmtId="3" xfId="0" applyAlignment="1" applyFont="1" applyNumberFormat="1">
      <alignment horizontal="right" readingOrder="0" shrinkToFit="0" vertical="center" wrapText="1"/>
    </xf>
    <xf borderId="0" fillId="0" fontId="13" numFmtId="3" xfId="0" applyAlignment="1" applyFont="1" applyNumberFormat="1">
      <alignment readingOrder="0" shrinkToFit="0" vertical="center" wrapText="1"/>
    </xf>
    <xf borderId="0" fillId="0" fontId="2" numFmtId="3" xfId="0" applyAlignment="1" applyFont="1" applyNumberFormat="1">
      <alignment vertical="center"/>
    </xf>
    <xf borderId="5" fillId="0" fontId="13" numFmtId="0" xfId="0" applyAlignment="1" applyBorder="1" applyFont="1">
      <alignment vertical="center"/>
    </xf>
    <xf borderId="5" fillId="0" fontId="14" numFmtId="3" xfId="0" applyAlignment="1" applyBorder="1" applyFont="1" applyNumberFormat="1">
      <alignment shrinkToFit="0" vertical="center" wrapText="1"/>
    </xf>
    <xf borderId="5" fillId="0" fontId="2" numFmtId="0" xfId="0" applyAlignment="1" applyBorder="1" applyFont="1">
      <alignment vertical="center"/>
    </xf>
    <xf borderId="5" fillId="0" fontId="2" numFmtId="3" xfId="0" applyAlignment="1" applyBorder="1" applyFont="1" applyNumberFormat="1">
      <alignment vertical="center"/>
    </xf>
    <xf borderId="0" fillId="0" fontId="16" numFmtId="0" xfId="0" applyFont="1"/>
    <xf borderId="6" fillId="0" fontId="13" numFmtId="0" xfId="0" applyAlignment="1" applyBorder="1" applyFont="1">
      <alignment vertical="center"/>
    </xf>
    <xf borderId="6" fillId="0" fontId="14" numFmtId="3" xfId="0" applyAlignment="1" applyBorder="1" applyFont="1" applyNumberFormat="1">
      <alignment shrinkToFit="0" vertical="center" wrapText="1"/>
    </xf>
    <xf borderId="6" fillId="0" fontId="13" numFmtId="0" xfId="0" applyAlignment="1" applyBorder="1" applyFont="1">
      <alignment readingOrder="0" vertical="center"/>
    </xf>
    <xf borderId="4" fillId="0" fontId="13" numFmtId="3" xfId="0" applyAlignment="1" applyBorder="1" applyFont="1" applyNumberFormat="1">
      <alignment shrinkToFit="0" vertical="center" wrapText="1"/>
    </xf>
    <xf borderId="0" fillId="2" fontId="13" numFmtId="0" xfId="0" applyAlignment="1" applyFont="1">
      <alignment vertical="center"/>
    </xf>
    <xf borderId="0" fillId="0" fontId="10" numFmtId="0" xfId="0" applyAlignment="1" applyFont="1">
      <alignment readingOrder="0" vertical="center"/>
    </xf>
    <xf borderId="6" fillId="0" fontId="14" numFmtId="0" xfId="0" applyAlignment="1" applyBorder="1" applyFont="1">
      <alignment vertical="center"/>
    </xf>
    <xf borderId="7" fillId="0" fontId="2" numFmtId="0" xfId="0" applyAlignment="1" applyBorder="1" applyFont="1">
      <alignment vertical="center"/>
    </xf>
    <xf borderId="7" fillId="0" fontId="2" numFmtId="3" xfId="0" applyAlignment="1" applyBorder="1" applyFont="1" applyNumberFormat="1">
      <alignment vertical="center"/>
    </xf>
    <xf borderId="0" fillId="0" fontId="15" numFmtId="0" xfId="0" applyAlignment="1" applyFont="1">
      <alignment shrinkToFit="0" vertical="center" wrapText="1"/>
    </xf>
    <xf borderId="8" fillId="0" fontId="2" numFmtId="0" xfId="0" applyAlignment="1" applyBorder="1" applyFont="1">
      <alignment vertical="center"/>
    </xf>
    <xf borderId="9" fillId="0" fontId="2" numFmtId="0" xfId="0" applyBorder="1" applyFont="1"/>
    <xf borderId="10" fillId="0" fontId="2" numFmtId="0" xfId="0" applyAlignment="1" applyBorder="1" applyFont="1">
      <alignment vertical="center"/>
    </xf>
    <xf borderId="11" fillId="0" fontId="2" numFmtId="3" xfId="0" applyAlignment="1" applyBorder="1" applyFont="1" applyNumberFormat="1">
      <alignment vertical="center"/>
    </xf>
    <xf borderId="0" fillId="0" fontId="14" numFmtId="0" xfId="0" applyAlignment="1" applyFont="1">
      <alignment shrinkToFit="0" vertical="center" wrapText="1"/>
    </xf>
    <xf borderId="9" fillId="0" fontId="2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5" numFmtId="49" xfId="0" applyFont="1" applyNumberFormat="1"/>
    <xf borderId="0" fillId="0" fontId="17" numFmtId="49" xfId="0" applyFont="1" applyNumberFormat="1"/>
    <xf borderId="0" fillId="0" fontId="10" numFmtId="0" xfId="0" applyFont="1"/>
    <xf borderId="0" fillId="0" fontId="10" numFmtId="0" xfId="0" applyAlignment="1" applyFont="1">
      <alignment readingOrder="0"/>
    </xf>
    <xf borderId="7" fillId="0" fontId="17" numFmtId="49" xfId="0" applyBorder="1" applyFont="1" applyNumberFormat="1"/>
    <xf borderId="7" fillId="0" fontId="2" numFmtId="0" xfId="0" applyBorder="1" applyFont="1"/>
    <xf borderId="7" fillId="0" fontId="10" numFmtId="0" xfId="0" applyBorder="1" applyFont="1"/>
    <xf borderId="12" fillId="0" fontId="18" numFmtId="0" xfId="0" applyBorder="1" applyFont="1"/>
    <xf borderId="0" fillId="0" fontId="19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0" numFmtId="0" xfId="0" applyAlignment="1" applyFont="1">
      <alignment horizontal="right" readingOrder="0" vertical="bottom"/>
    </xf>
    <xf borderId="0" fillId="0" fontId="20" numFmtId="0" xfId="0" applyFont="1"/>
    <xf borderId="0" fillId="0" fontId="10" numFmtId="0" xfId="0" applyAlignment="1" applyFont="1">
      <alignment horizontal="right" vertical="bottom"/>
    </xf>
    <xf borderId="0" fillId="0" fontId="10" numFmtId="3" xfId="0" applyAlignment="1" applyFont="1" applyNumberFormat="1">
      <alignment horizontal="right" vertical="bottom"/>
    </xf>
    <xf borderId="0" fillId="0" fontId="21" numFmtId="0" xfId="0" applyAlignment="1" applyFont="1">
      <alignment readingOrder="0"/>
    </xf>
    <xf borderId="13" fillId="0" fontId="15" numFmtId="0" xfId="0" applyBorder="1" applyFont="1"/>
    <xf borderId="0" fillId="0" fontId="3" numFmtId="0" xfId="0" applyFont="1"/>
    <xf borderId="12" fillId="0" fontId="22" numFmtId="0" xfId="0" applyBorder="1" applyFont="1"/>
    <xf borderId="12" fillId="0" fontId="2" numFmtId="0" xfId="0" applyBorder="1" applyFont="1"/>
    <xf borderId="12" fillId="0" fontId="2" numFmtId="0" xfId="0" applyAlignment="1" applyBorder="1" applyFont="1">
      <alignment readingOrder="0"/>
    </xf>
    <xf borderId="0" fillId="0" fontId="10" numFmtId="0" xfId="0" applyAlignment="1" applyFont="1">
      <alignment horizontal="right" vertical="bottom"/>
    </xf>
    <xf borderId="0" fillId="4" fontId="10" numFmtId="0" xfId="0" applyAlignment="1" applyFill="1" applyFont="1">
      <alignment readingOrder="0"/>
    </xf>
    <xf borderId="0" fillId="4" fontId="2" numFmtId="0" xfId="0" applyAlignment="1" applyFont="1">
      <alignment readingOrder="0"/>
    </xf>
    <xf borderId="3" fillId="0" fontId="20" numFmtId="0" xfId="0" applyBorder="1" applyFont="1"/>
    <xf borderId="3" fillId="0" fontId="10" numFmtId="0" xfId="0" applyAlignment="1" applyBorder="1" applyFont="1">
      <alignment horizontal="right" vertical="bottom"/>
    </xf>
    <xf borderId="3" fillId="4" fontId="10" numFmtId="0" xfId="0" applyAlignment="1" applyBorder="1" applyFont="1">
      <alignment readingOrder="0"/>
    </xf>
    <xf borderId="3" fillId="0" fontId="10" numFmtId="0" xfId="0" applyBorder="1" applyFont="1"/>
    <xf borderId="5" fillId="0" fontId="15" numFmtId="0" xfId="0" applyBorder="1" applyFont="1"/>
    <xf borderId="5" fillId="0" fontId="10" numFmtId="0" xfId="0" applyAlignment="1" applyBorder="1" applyFont="1">
      <alignment vertical="bottom"/>
    </xf>
    <xf borderId="0" fillId="3" fontId="23" numFmtId="0" xfId="0" applyFont="1"/>
    <xf borderId="0" fillId="0" fontId="22" numFmtId="0" xfId="0" applyFont="1"/>
    <xf borderId="0" fillId="0" fontId="10" numFmtId="0" xfId="0" applyAlignment="1" applyFont="1">
      <alignment vertical="bottom"/>
    </xf>
    <xf borderId="12" fillId="0" fontId="3" numFmtId="0" xfId="0" applyBorder="1" applyFont="1"/>
    <xf borderId="12" fillId="0" fontId="10" numFmtId="0" xfId="0" applyAlignment="1" applyBorder="1" applyFont="1">
      <alignment vertical="bottom"/>
    </xf>
    <xf borderId="0" fillId="4" fontId="21" numFmtId="0" xfId="0" applyAlignment="1" applyFont="1">
      <alignment readingOrder="0"/>
    </xf>
    <xf borderId="3" fillId="0" fontId="24" numFmtId="0" xfId="0" applyBorder="1" applyFont="1"/>
    <xf borderId="0" fillId="0" fontId="2" numFmtId="0" xfId="0" applyAlignment="1" applyFont="1">
      <alignment shrinkToFit="0" wrapText="0"/>
    </xf>
    <xf borderId="13" fillId="0" fontId="2" numFmtId="0" xfId="0" applyBorder="1" applyFont="1"/>
    <xf borderId="0" fillId="2" fontId="6" numFmtId="0" xfId="0" applyFont="1"/>
    <xf borderId="0" fillId="2" fontId="25" numFmtId="0" xfId="0" applyFont="1"/>
    <xf borderId="0" fillId="2" fontId="14" numFmtId="0" xfId="0" applyAlignment="1" applyFont="1">
      <alignment shrinkToFit="0" wrapText="1"/>
    </xf>
    <xf borderId="0" fillId="2" fontId="14" numFmtId="0" xfId="0" applyAlignment="1" applyFont="1">
      <alignment horizontal="center" shrinkToFit="0" wrapText="1"/>
    </xf>
    <xf borderId="0" fillId="2" fontId="26" numFmtId="0" xfId="0" applyAlignment="1" applyFont="1">
      <alignment horizontal="center" shrinkToFit="0" wrapText="1"/>
    </xf>
    <xf borderId="0" fillId="2" fontId="14" numFmtId="0" xfId="0" applyAlignment="1" applyFont="1">
      <alignment horizontal="center" readingOrder="0" shrinkToFit="0" wrapText="1"/>
    </xf>
    <xf borderId="0" fillId="2" fontId="13" numFmtId="0" xfId="0" applyAlignment="1" applyFont="1">
      <alignment shrinkToFit="0" wrapText="1"/>
    </xf>
    <xf borderId="0" fillId="2" fontId="13" numFmtId="3" xfId="0" applyAlignment="1" applyFont="1" applyNumberFormat="1">
      <alignment horizontal="right" shrinkToFit="0" wrapText="1"/>
    </xf>
    <xf borderId="0" fillId="2" fontId="13" numFmtId="3" xfId="0" applyAlignment="1" applyFont="1" applyNumberFormat="1">
      <alignment shrinkToFit="0" wrapText="1"/>
    </xf>
    <xf borderId="0" fillId="2" fontId="25" numFmtId="3" xfId="0" applyAlignment="1" applyFont="1" applyNumberFormat="1">
      <alignment horizontal="right" shrinkToFit="0" wrapText="1"/>
    </xf>
    <xf borderId="0" fillId="2" fontId="6" numFmtId="3" xfId="0" applyFont="1" applyNumberFormat="1"/>
    <xf borderId="0" fillId="2" fontId="13" numFmtId="0" xfId="0" applyAlignment="1" applyFont="1">
      <alignment horizontal="right" shrinkToFit="0" wrapText="1"/>
    </xf>
    <xf borderId="0" fillId="2" fontId="13" numFmtId="3" xfId="0" applyAlignment="1" applyFont="1" applyNumberFormat="1">
      <alignment horizontal="right" readingOrder="0" shrinkToFit="0" wrapText="1"/>
    </xf>
    <xf borderId="0" fillId="2" fontId="13" numFmtId="0" xfId="0" applyAlignment="1" applyFont="1">
      <alignment readingOrder="0" shrinkToFit="0" wrapText="1"/>
    </xf>
    <xf borderId="0" fillId="2" fontId="13" numFmtId="4" xfId="0" applyAlignment="1" applyFont="1" applyNumberFormat="1">
      <alignment horizontal="right" readingOrder="0" shrinkToFit="0" wrapText="1"/>
    </xf>
    <xf borderId="0" fillId="2" fontId="25" numFmtId="3" xfId="0" applyAlignment="1" applyFont="1" applyNumberFormat="1">
      <alignment shrinkToFit="0" wrapText="1"/>
    </xf>
    <xf borderId="8" fillId="0" fontId="27" numFmtId="0" xfId="0" applyBorder="1" applyFont="1"/>
    <xf borderId="4" fillId="0" fontId="6" numFmtId="0" xfId="0" applyBorder="1" applyFont="1"/>
    <xf borderId="4" fillId="0" fontId="2" numFmtId="0" xfId="0" applyBorder="1" applyFont="1"/>
    <xf borderId="9" fillId="2" fontId="6" numFmtId="0" xfId="0" applyBorder="1" applyFont="1"/>
    <xf borderId="0" fillId="0" fontId="13" numFmtId="0" xfId="0" applyAlignment="1" applyFont="1">
      <alignment shrinkToFit="0" wrapText="1"/>
    </xf>
    <xf borderId="0" fillId="0" fontId="13" numFmtId="3" xfId="0" applyAlignment="1" applyFont="1" applyNumberFormat="1">
      <alignment readingOrder="0" shrinkToFit="0" wrapText="1"/>
    </xf>
    <xf borderId="0" fillId="2" fontId="13" numFmtId="3" xfId="0" applyAlignment="1" applyFont="1" applyNumberFormat="1">
      <alignment readingOrder="0" shrinkToFit="0" wrapText="1"/>
    </xf>
    <xf borderId="14" fillId="0" fontId="6" numFmtId="0" xfId="0" applyAlignment="1" applyBorder="1" applyFont="1">
      <alignment readingOrder="0"/>
    </xf>
    <xf borderId="0" fillId="0" fontId="6" numFmtId="0" xfId="0" applyFont="1"/>
    <xf borderId="15" fillId="2" fontId="6" numFmtId="0" xfId="0" applyBorder="1" applyFont="1"/>
    <xf borderId="0" fillId="2" fontId="13" numFmtId="4" xfId="0" applyAlignment="1" applyFont="1" applyNumberFormat="1">
      <alignment shrinkToFit="0" wrapText="1"/>
    </xf>
    <xf borderId="14" fillId="0" fontId="6" numFmtId="0" xfId="0" applyBorder="1" applyFont="1"/>
    <xf borderId="15" fillId="0" fontId="6" numFmtId="0" xfId="0" applyBorder="1" applyFont="1"/>
    <xf borderId="0" fillId="2" fontId="13" numFmtId="164" xfId="0" applyAlignment="1" applyFont="1" applyNumberFormat="1">
      <alignment shrinkToFit="0" wrapText="1"/>
    </xf>
    <xf borderId="9" fillId="0" fontId="6" numFmtId="0" xfId="0" applyBorder="1" applyFont="1"/>
    <xf borderId="8" fillId="0" fontId="27" numFmtId="0" xfId="0" applyAlignment="1" applyBorder="1" applyFont="1">
      <alignment readingOrder="0"/>
    </xf>
    <xf borderId="0" fillId="2" fontId="6" numFmtId="0" xfId="0" applyAlignment="1" applyFont="1">
      <alignment readingOrder="0" shrinkToFit="0" vertical="bottom" wrapText="1"/>
    </xf>
    <xf borderId="0" fillId="2" fontId="6" numFmtId="3" xfId="0" applyAlignment="1" applyFont="1" applyNumberFormat="1">
      <alignment vertical="bottom"/>
    </xf>
    <xf borderId="0" fillId="2" fontId="6" numFmtId="3" xfId="0" applyAlignment="1" applyFont="1" applyNumberFormat="1">
      <alignment horizontal="right" readingOrder="0" shrinkToFit="0" vertical="bottom" wrapText="1"/>
    </xf>
    <xf borderId="0" fillId="2" fontId="6" numFmtId="3" xfId="0" applyAlignment="1" applyFont="1" applyNumberFormat="1">
      <alignment horizontal="right" shrinkToFit="0" vertical="bottom" wrapText="1"/>
    </xf>
    <xf borderId="0" fillId="2" fontId="28" numFmtId="3" xfId="0" applyAlignment="1" applyFont="1" applyNumberFormat="1">
      <alignment horizontal="right" shrinkToFit="0" vertical="bottom" wrapText="1"/>
    </xf>
    <xf borderId="0" fillId="2" fontId="6" numFmtId="3" xfId="0" applyAlignment="1" applyFont="1" applyNumberFormat="1">
      <alignment horizontal="right" vertical="bottom"/>
    </xf>
    <xf borderId="3" fillId="2" fontId="13" numFmtId="0" xfId="0" applyAlignment="1" applyBorder="1" applyFont="1">
      <alignment shrinkToFit="0" wrapText="1"/>
    </xf>
    <xf borderId="3" fillId="2" fontId="13" numFmtId="3" xfId="0" applyAlignment="1" applyBorder="1" applyFont="1" applyNumberFormat="1">
      <alignment horizontal="right" shrinkToFit="0" wrapText="1"/>
    </xf>
    <xf borderId="3" fillId="2" fontId="13" numFmtId="3" xfId="0" applyAlignment="1" applyBorder="1" applyFont="1" applyNumberFormat="1">
      <alignment horizontal="right" readingOrder="0" shrinkToFit="0" wrapText="1"/>
    </xf>
    <xf borderId="3" fillId="2" fontId="25" numFmtId="3" xfId="0" applyAlignment="1" applyBorder="1" applyFont="1" applyNumberFormat="1">
      <alignment horizontal="right" shrinkToFit="0" wrapText="1"/>
    </xf>
    <xf borderId="3" fillId="0" fontId="25" numFmtId="3" xfId="0" applyAlignment="1" applyBorder="1" applyFont="1" applyNumberFormat="1">
      <alignment horizontal="right" shrinkToFit="0" wrapText="1"/>
    </xf>
    <xf borderId="3" fillId="2" fontId="6" numFmtId="3" xfId="0" applyBorder="1" applyFont="1" applyNumberFormat="1"/>
    <xf borderId="15" fillId="0" fontId="6" numFmtId="0" xfId="0" applyAlignment="1" applyBorder="1" applyFont="1">
      <alignment readingOrder="0"/>
    </xf>
    <xf borderId="0" fillId="2" fontId="13" numFmtId="0" xfId="0" applyAlignment="1" applyFont="1">
      <alignment readingOrder="0"/>
    </xf>
    <xf borderId="0" fillId="2" fontId="25" numFmtId="0" xfId="0" applyAlignment="1" applyFont="1">
      <alignment horizontal="right" shrinkToFit="0" wrapText="1"/>
    </xf>
    <xf borderId="0" fillId="2" fontId="6" numFmtId="165" xfId="0" applyFont="1" applyNumberFormat="1"/>
    <xf borderId="0" fillId="0" fontId="13" numFmtId="0" xfId="0" applyAlignment="1" applyFont="1">
      <alignment readingOrder="0"/>
    </xf>
    <xf borderId="0" fillId="2" fontId="13" numFmtId="0" xfId="0" applyAlignment="1" applyFont="1">
      <alignment horizontal="right" readingOrder="0" shrinkToFit="0" wrapText="1"/>
    </xf>
    <xf borderId="10" fillId="0" fontId="6" numFmtId="0" xfId="0" applyBorder="1" applyFont="1"/>
    <xf borderId="11" fillId="0" fontId="6" numFmtId="0" xfId="0" applyBorder="1" applyFont="1"/>
    <xf borderId="11" fillId="0" fontId="6" numFmtId="0" xfId="0" applyAlignment="1" applyBorder="1" applyFont="1">
      <alignment readingOrder="0"/>
    </xf>
    <xf borderId="0" fillId="2" fontId="13" numFmtId="0" xfId="0" applyAlignment="1" applyFont="1">
      <alignment shrinkToFit="0" wrapText="0"/>
    </xf>
    <xf borderId="3" fillId="0" fontId="21" numFmtId="0" xfId="0" applyBorder="1" applyFont="1"/>
    <xf borderId="3" fillId="2" fontId="25" numFmtId="0" xfId="0" applyAlignment="1" applyBorder="1" applyFont="1">
      <alignment horizontal="right" shrinkToFit="0" wrapText="1"/>
    </xf>
    <xf borderId="3" fillId="0" fontId="6" numFmtId="0" xfId="0" applyAlignment="1" applyBorder="1" applyFont="1">
      <alignment readingOrder="0" shrinkToFit="0" wrapText="1"/>
    </xf>
    <xf borderId="16" fillId="2" fontId="13" numFmtId="0" xfId="0" applyAlignment="1" applyBorder="1" applyFont="1">
      <alignment shrinkToFit="0" wrapText="1"/>
    </xf>
    <xf borderId="6" fillId="2" fontId="13" numFmtId="0" xfId="0" applyAlignment="1" applyBorder="1" applyFont="1">
      <alignment shrinkToFit="0" wrapText="1"/>
    </xf>
    <xf borderId="6" fillId="2" fontId="25" numFmtId="3" xfId="0" applyAlignment="1" applyBorder="1" applyFont="1" applyNumberFormat="1">
      <alignment shrinkToFit="0" wrapText="1"/>
    </xf>
    <xf borderId="6" fillId="2" fontId="13" numFmtId="3" xfId="0" applyAlignment="1" applyBorder="1" applyFont="1" applyNumberFormat="1">
      <alignment shrinkToFit="0" wrapText="1"/>
    </xf>
    <xf borderId="6" fillId="2" fontId="25" numFmtId="3" xfId="0" applyAlignment="1" applyBorder="1" applyFont="1" applyNumberFormat="1">
      <alignment horizontal="right" shrinkToFit="0" wrapText="1"/>
    </xf>
    <xf borderId="6" fillId="2" fontId="13" numFmtId="3" xfId="0" applyAlignment="1" applyBorder="1" applyFont="1" applyNumberFormat="1">
      <alignment horizontal="right" shrinkToFit="0" wrapText="1"/>
    </xf>
    <xf borderId="6" fillId="2" fontId="6" numFmtId="0" xfId="0" applyBorder="1" applyFont="1"/>
    <xf borderId="8" fillId="0" fontId="27" numFmtId="0" xfId="0" applyAlignment="1" applyBorder="1" applyFont="1">
      <alignment vertical="bottom"/>
    </xf>
    <xf borderId="9" fillId="0" fontId="6" numFmtId="0" xfId="0" applyAlignment="1" applyBorder="1" applyFont="1">
      <alignment vertical="bottom"/>
    </xf>
    <xf borderId="8" fillId="0" fontId="27" numFmtId="0" xfId="0" applyAlignment="1" applyBorder="1" applyFont="1">
      <alignment readingOrder="0" vertical="bottom"/>
    </xf>
    <xf borderId="9" fillId="3" fontId="6" numFmtId="0" xfId="0" applyAlignment="1" applyBorder="1" applyFont="1">
      <alignment vertical="bottom"/>
    </xf>
    <xf borderId="0" fillId="0" fontId="13" numFmtId="0" xfId="0" applyAlignment="1" applyFont="1">
      <alignment horizontal="right" shrinkToFit="0" wrapText="1"/>
    </xf>
    <xf borderId="14" fillId="0" fontId="6" numFmtId="0" xfId="0" applyAlignment="1" applyBorder="1" applyFont="1">
      <alignment vertical="bottom"/>
    </xf>
    <xf borderId="15" fillId="0" fontId="6" numFmtId="0" xfId="0" applyAlignment="1" applyBorder="1" applyFont="1">
      <alignment horizontal="right" readingOrder="0" vertical="bottom"/>
    </xf>
    <xf borderId="14" fillId="0" fontId="6" numFmtId="0" xfId="0" applyAlignment="1" applyBorder="1" applyFont="1">
      <alignment readingOrder="0" vertical="bottom"/>
    </xf>
    <xf borderId="15" fillId="3" fontId="6" numFmtId="0" xfId="0" applyAlignment="1" applyBorder="1" applyFont="1">
      <alignment horizontal="right" readingOrder="0" vertical="bottom"/>
    </xf>
    <xf borderId="17" fillId="0" fontId="3" numFmtId="0" xfId="0" applyAlignment="1" applyBorder="1" applyFont="1">
      <alignment readingOrder="0" shrinkToFit="0" wrapText="1"/>
    </xf>
    <xf borderId="18" fillId="0" fontId="29" numFmtId="0" xfId="0" applyBorder="1" applyFont="1"/>
    <xf borderId="19" fillId="2" fontId="13" numFmtId="0" xfId="0" applyAlignment="1" applyBorder="1" applyFont="1">
      <alignment shrinkToFit="0" wrapText="1"/>
    </xf>
    <xf borderId="0" fillId="0" fontId="25" numFmtId="0" xfId="0" applyAlignment="1" applyFont="1">
      <alignment shrinkToFit="0" wrapText="1"/>
    </xf>
    <xf borderId="0" fillId="0" fontId="3" numFmtId="0" xfId="0" applyAlignment="1" applyFont="1">
      <alignment readingOrder="0" shrinkToFit="0" wrapText="1"/>
    </xf>
    <xf borderId="15" fillId="0" fontId="6" numFmtId="0" xfId="0" applyAlignment="1" applyBorder="1" applyFont="1">
      <alignment horizontal="right" vertical="bottom"/>
    </xf>
    <xf borderId="15" fillId="3" fontId="6" numFmtId="0" xfId="0" applyAlignment="1" applyBorder="1" applyFont="1">
      <alignment horizontal="right" vertical="bottom"/>
    </xf>
    <xf borderId="20" fillId="2" fontId="14" numFmtId="0" xfId="0" applyAlignment="1" applyBorder="1" applyFont="1">
      <alignment vertical="center"/>
    </xf>
    <xf borderId="0" fillId="2" fontId="26" numFmtId="0" xfId="0" applyAlignment="1" applyFont="1">
      <alignment readingOrder="0" shrinkToFit="0" wrapText="1"/>
    </xf>
    <xf borderId="21" fillId="2" fontId="13" numFmtId="0" xfId="0" applyAlignment="1" applyBorder="1" applyFont="1">
      <alignment shrinkToFit="0" wrapText="1"/>
    </xf>
    <xf borderId="15" fillId="0" fontId="21" numFmtId="0" xfId="0" applyBorder="1" applyFont="1"/>
    <xf borderId="0" fillId="2" fontId="30" numFmtId="0" xfId="0" applyFont="1"/>
    <xf borderId="11" fillId="0" fontId="6" numFmtId="0" xfId="0" applyAlignment="1" applyBorder="1" applyFont="1">
      <alignment horizontal="right" vertical="bottom"/>
    </xf>
    <xf borderId="10" fillId="0" fontId="6" numFmtId="0" xfId="0" applyAlignment="1" applyBorder="1" applyFont="1">
      <alignment readingOrder="0" vertical="bottom"/>
    </xf>
    <xf borderId="11" fillId="3" fontId="6" numFmtId="0" xfId="0" applyAlignment="1" applyBorder="1" applyFont="1">
      <alignment horizontal="right" readingOrder="0" vertical="bottom"/>
    </xf>
    <xf borderId="20" fillId="2" fontId="13" numFmtId="0" xfId="0" applyAlignment="1" applyBorder="1" applyFont="1">
      <alignment shrinkToFit="0" wrapText="1"/>
    </xf>
    <xf borderId="21" fillId="2" fontId="13" numFmtId="0" xfId="0" applyAlignment="1" applyBorder="1" applyFont="1">
      <alignment readingOrder="0" shrinkToFit="0" wrapText="1"/>
    </xf>
    <xf borderId="15" fillId="3" fontId="31" numFmtId="0" xfId="0" applyAlignment="1" applyBorder="1" applyFont="1">
      <alignment vertical="bottom"/>
    </xf>
    <xf borderId="0" fillId="0" fontId="2" numFmtId="0" xfId="0" applyAlignment="1" applyFont="1">
      <alignment readingOrder="0" shrinkToFit="0" wrapText="1"/>
    </xf>
    <xf borderId="15" fillId="0" fontId="2" numFmtId="0" xfId="0" applyBorder="1" applyFont="1"/>
    <xf borderId="15" fillId="3" fontId="32" numFmtId="0" xfId="0" applyAlignment="1" applyBorder="1" applyFont="1">
      <alignment readingOrder="0" vertical="bottom"/>
    </xf>
    <xf borderId="0" fillId="0" fontId="13" numFmtId="0" xfId="0" applyAlignment="1" applyFont="1">
      <alignment horizontal="right" readingOrder="0" shrinkToFit="0" wrapText="1"/>
    </xf>
    <xf borderId="0" fillId="0" fontId="6" numFmtId="0" xfId="0" applyAlignment="1" applyFont="1">
      <alignment readingOrder="0" shrinkToFit="0" wrapText="1"/>
    </xf>
    <xf borderId="10" fillId="4" fontId="6" numFmtId="0" xfId="0" applyBorder="1" applyFont="1"/>
    <xf borderId="3" fillId="4" fontId="6" numFmtId="0" xfId="0" applyBorder="1" applyFont="1"/>
    <xf borderId="3" fillId="0" fontId="6" numFmtId="0" xfId="0" applyBorder="1" applyFont="1"/>
    <xf borderId="11" fillId="2" fontId="6" numFmtId="0" xfId="0" applyBorder="1" applyFont="1"/>
    <xf borderId="0" fillId="0" fontId="25" numFmtId="3" xfId="0" applyAlignment="1" applyFont="1" applyNumberFormat="1">
      <alignment shrinkToFit="0" wrapText="1"/>
    </xf>
    <xf borderId="15" fillId="3" fontId="33" numFmtId="0" xfId="0" applyAlignment="1" applyBorder="1" applyFont="1">
      <alignment shrinkToFit="0" vertical="bottom" wrapText="1"/>
    </xf>
    <xf borderId="20" fillId="2" fontId="27" numFmtId="0" xfId="0" applyBorder="1" applyFont="1"/>
    <xf borderId="0" fillId="2" fontId="28" numFmtId="0" xfId="0" applyFont="1"/>
    <xf borderId="21" fillId="0" fontId="13" numFmtId="0" xfId="0" applyAlignment="1" applyBorder="1" applyFont="1">
      <alignment shrinkToFit="0" wrapText="0"/>
    </xf>
    <xf borderId="0" fillId="2" fontId="25" numFmtId="0" xfId="0" applyAlignment="1" applyFont="1">
      <alignment shrinkToFit="0" wrapText="1"/>
    </xf>
    <xf borderId="15" fillId="3" fontId="34" numFmtId="0" xfId="0" applyAlignment="1" applyBorder="1" applyFont="1">
      <alignment vertical="bottom"/>
    </xf>
    <xf borderId="0" fillId="0" fontId="13" numFmtId="0" xfId="0" applyAlignment="1" applyFont="1">
      <alignment readingOrder="0" shrinkToFit="0" wrapText="1"/>
    </xf>
    <xf borderId="20" fillId="2" fontId="6" numFmtId="0" xfId="0" applyBorder="1" applyFont="1"/>
    <xf borderId="21" fillId="0" fontId="13" numFmtId="0" xfId="0" applyAlignment="1" applyBorder="1" applyFont="1">
      <alignment shrinkToFit="0" wrapText="1"/>
    </xf>
    <xf borderId="15" fillId="3" fontId="32" numFmtId="0" xfId="0" applyAlignment="1" applyBorder="1" applyFont="1">
      <alignment vertical="bottom"/>
    </xf>
    <xf borderId="0" fillId="2" fontId="30" numFmtId="0" xfId="0" applyAlignment="1" applyFont="1">
      <alignment shrinkToFit="0" wrapText="1"/>
    </xf>
    <xf borderId="21" fillId="0" fontId="6" numFmtId="0" xfId="0" applyBorder="1" applyFont="1"/>
    <xf borderId="15" fillId="3" fontId="31" numFmtId="0" xfId="0" applyAlignment="1" applyBorder="1" applyFont="1">
      <alignment vertical="bottom"/>
    </xf>
    <xf borderId="0" fillId="2" fontId="35" numFmtId="0" xfId="0" applyFont="1"/>
    <xf borderId="12" fillId="2" fontId="14" numFmtId="0" xfId="0" applyAlignment="1" applyBorder="1" applyFont="1">
      <alignment shrinkToFit="0" wrapText="1"/>
    </xf>
    <xf borderId="12" fillId="2" fontId="14" numFmtId="3" xfId="0" applyAlignment="1" applyBorder="1" applyFont="1" applyNumberFormat="1">
      <alignment horizontal="right" shrinkToFit="0" wrapText="1"/>
    </xf>
    <xf borderId="0" fillId="0" fontId="27" numFmtId="0" xfId="0" applyFont="1"/>
    <xf borderId="0" fillId="0" fontId="36" numFmtId="0" xfId="0" applyFont="1"/>
    <xf borderId="0" fillId="3" fontId="23" numFmtId="0" xfId="0" applyAlignment="1" applyFont="1">
      <alignment readingOrder="0"/>
    </xf>
    <xf borderId="22" fillId="2" fontId="6" numFmtId="0" xfId="0" applyBorder="1" applyFont="1"/>
    <xf borderId="23" fillId="2" fontId="6" numFmtId="0" xfId="0" applyBorder="1" applyFont="1"/>
    <xf borderId="1" fillId="0" fontId="3" numFmtId="0" xfId="0" applyAlignment="1" applyBorder="1" applyFont="1">
      <alignment vertical="bottom"/>
    </xf>
    <xf borderId="5" fillId="0" fontId="6" numFmtId="0" xfId="0" applyBorder="1" applyFont="1"/>
    <xf borderId="5" fillId="0" fontId="6" numFmtId="3" xfId="0" applyBorder="1" applyFont="1" applyNumberFormat="1"/>
    <xf borderId="5" fillId="0" fontId="2" numFmtId="0" xfId="0" applyBorder="1" applyFont="1"/>
    <xf borderId="2" fillId="0" fontId="2" numFmtId="0" xfId="0" applyBorder="1" applyFont="1"/>
    <xf borderId="14" fillId="0" fontId="24" numFmtId="0" xfId="0" applyAlignment="1" applyBorder="1" applyFont="1">
      <alignment vertical="bottom"/>
    </xf>
    <xf borderId="14" fillId="0" fontId="2" numFmtId="0" xfId="0" applyAlignment="1" applyBorder="1" applyFont="1">
      <alignment vertical="bottom"/>
    </xf>
    <xf borderId="15" fillId="0" fontId="2" numFmtId="3" xfId="0" applyBorder="1" applyFont="1" applyNumberFormat="1"/>
    <xf borderId="14" fillId="0" fontId="10" numFmtId="0" xfId="0" applyAlignment="1" applyBorder="1" applyFont="1">
      <alignment vertical="bottom"/>
    </xf>
    <xf borderId="0" fillId="0" fontId="6" numFmtId="3" xfId="0" applyFont="1" applyNumberFormat="1"/>
    <xf borderId="10" fillId="0" fontId="2" numFmtId="0" xfId="0" applyAlignment="1" applyBorder="1" applyFont="1">
      <alignment vertical="bottom"/>
    </xf>
    <xf borderId="11" fillId="0" fontId="2" numFmtId="3" xfId="0" applyBorder="1" applyFont="1" applyNumberFormat="1"/>
    <xf borderId="15" fillId="4" fontId="2" numFmtId="0" xfId="0" applyBorder="1" applyFont="1"/>
    <xf borderId="3" fillId="0" fontId="6" numFmtId="3" xfId="0" applyBorder="1" applyFont="1" applyNumberFormat="1"/>
    <xf borderId="11" fillId="0" fontId="2" numFmtId="0" xfId="0" applyBorder="1" applyFont="1"/>
    <xf borderId="24" fillId="0" fontId="2" numFmtId="0" xfId="0" applyAlignment="1" applyBorder="1" applyFont="1">
      <alignment vertical="bottom"/>
    </xf>
    <xf borderId="6" fillId="0" fontId="6" numFmtId="0" xfId="0" applyBorder="1" applyFont="1"/>
    <xf borderId="25" fillId="2" fontId="10" numFmtId="3" xfId="0" applyBorder="1" applyFont="1" applyNumberFormat="1"/>
    <xf borderId="0" fillId="0" fontId="37" numFmtId="0" xfId="0" applyFont="1"/>
    <xf borderId="0" fillId="0" fontId="2" numFmtId="166" xfId="0" applyFont="1" applyNumberFormat="1"/>
    <xf borderId="0" fillId="0" fontId="38" numFmtId="0" xfId="0" applyAlignment="1" applyFont="1">
      <alignment vertical="bottom"/>
    </xf>
    <xf borderId="0" fillId="0" fontId="39" numFmtId="0" xfId="0" applyAlignment="1" applyFont="1">
      <alignment vertical="bottom"/>
    </xf>
    <xf borderId="0" fillId="0" fontId="38" numFmtId="0" xfId="0" applyAlignment="1" applyFont="1">
      <alignment horizontal="right" vertical="bottom"/>
    </xf>
    <xf borderId="0" fillId="0" fontId="40" numFmtId="0" xfId="0" applyFont="1"/>
    <xf borderId="0" fillId="0" fontId="41" numFmtId="0" xfId="0" applyAlignment="1" applyFont="1">
      <alignment horizontal="left"/>
    </xf>
    <xf borderId="0" fillId="0" fontId="42" numFmtId="0" xfId="0" applyFont="1"/>
    <xf borderId="3" fillId="0" fontId="22" numFmtId="0" xfId="0" applyBorder="1" applyFont="1"/>
    <xf borderId="0" fillId="0" fontId="43" numFmtId="0" xfId="0" applyAlignment="1" applyFont="1">
      <alignment shrinkToFit="0" wrapText="1"/>
    </xf>
    <xf borderId="4" fillId="0" fontId="43" numFmtId="0" xfId="0" applyAlignment="1" applyBorder="1" applyFont="1">
      <alignment shrinkToFit="0" wrapText="1"/>
    </xf>
    <xf borderId="0" fillId="0" fontId="10" numFmtId="1" xfId="0" applyFont="1" applyNumberFormat="1"/>
    <xf borderId="3" fillId="0" fontId="10" numFmtId="0" xfId="0" applyAlignment="1" applyBorder="1" applyFont="1">
      <alignment readingOrder="0" vertical="bottom"/>
    </xf>
    <xf borderId="3" fillId="0" fontId="10" numFmtId="0" xfId="0" applyAlignment="1" applyBorder="1" applyFont="1">
      <alignment vertical="bottom"/>
    </xf>
    <xf borderId="10" fillId="0" fontId="43" numFmtId="0" xfId="0" applyAlignment="1" applyBorder="1" applyFont="1">
      <alignment shrinkToFit="0" vertical="bottom" wrapText="1"/>
    </xf>
    <xf borderId="3" fillId="0" fontId="43" numFmtId="0" xfId="0" applyAlignment="1" applyBorder="1" applyFont="1">
      <alignment vertical="bottom"/>
    </xf>
    <xf borderId="15" fillId="0" fontId="10" numFmtId="0" xfId="0" applyAlignment="1" applyBorder="1" applyFont="1">
      <alignment vertical="bottom"/>
    </xf>
    <xf borderId="0" fillId="0" fontId="10" numFmtId="0" xfId="0" applyAlignment="1" applyFont="1">
      <alignment readingOrder="0" shrinkToFit="0" vertical="bottom" wrapText="0"/>
    </xf>
    <xf borderId="9" fillId="0" fontId="10" numFmtId="0" xfId="0" applyAlignment="1" applyBorder="1" applyFont="1">
      <alignment vertical="bottom"/>
    </xf>
    <xf borderId="0" fillId="0" fontId="15" numFmtId="0" xfId="0" applyFont="1"/>
    <xf borderId="0" fillId="0" fontId="15" numFmtId="0" xfId="0" applyAlignment="1" applyFont="1">
      <alignment readingOrder="0"/>
    </xf>
    <xf borderId="15" fillId="5" fontId="10" numFmtId="0" xfId="0" applyAlignment="1" applyBorder="1" applyFill="1" applyFont="1">
      <alignment readingOrder="0" vertical="bottom"/>
    </xf>
    <xf borderId="0" fillId="5" fontId="2" numFmtId="0" xfId="0" applyFont="1"/>
    <xf borderId="15" fillId="0" fontId="10" numFmtId="0" xfId="0" applyAlignment="1" applyBorder="1" applyFont="1">
      <alignment readingOrder="0" vertical="bottom"/>
    </xf>
    <xf borderId="10" fillId="0" fontId="10" numFmtId="0" xfId="0" applyAlignment="1" applyBorder="1" applyFont="1">
      <alignment vertical="bottom"/>
    </xf>
    <xf borderId="3" fillId="0" fontId="10" numFmtId="0" xfId="0" applyAlignment="1" applyBorder="1" applyFont="1">
      <alignment readingOrder="0" shrinkToFit="0" vertical="bottom" wrapText="0"/>
    </xf>
    <xf borderId="11" fillId="0" fontId="10" numFmtId="0" xfId="0" applyAlignment="1" applyBorder="1" applyFont="1">
      <alignment readingOrder="0" vertical="bottom"/>
    </xf>
    <xf borderId="0" fillId="0" fontId="10" numFmtId="0" xfId="0" applyAlignment="1" applyFont="1">
      <alignment vertical="bottom"/>
    </xf>
    <xf borderId="0" fillId="0" fontId="10" numFmtId="0" xfId="0" applyAlignment="1" applyFont="1">
      <alignment shrinkToFit="0" vertical="bottom" wrapText="0"/>
    </xf>
    <xf borderId="26" fillId="0" fontId="15" numFmtId="0" xfId="0" applyBorder="1" applyFont="1"/>
    <xf borderId="27" fillId="0" fontId="2" numFmtId="0" xfId="0" applyBorder="1" applyFont="1"/>
    <xf borderId="26" fillId="0" fontId="15" numFmtId="1" xfId="0" applyBorder="1" applyFont="1" applyNumberFormat="1"/>
    <xf borderId="0" fillId="0" fontId="43" numFmtId="0" xfId="0" applyFont="1"/>
    <xf borderId="1" fillId="0" fontId="43" numFmtId="0" xfId="0" applyAlignment="1" applyBorder="1" applyFont="1">
      <alignment shrinkToFit="0" vertical="bottom" wrapText="1"/>
    </xf>
    <xf borderId="3" fillId="0" fontId="43" numFmtId="0" xfId="0" applyBorder="1" applyFont="1"/>
    <xf borderId="3" fillId="0" fontId="43" numFmtId="0" xfId="0" applyAlignment="1" applyBorder="1" applyFont="1">
      <alignment shrinkToFit="0" wrapText="1"/>
    </xf>
    <xf borderId="14" fillId="0" fontId="10" numFmtId="0" xfId="0" applyAlignment="1" applyBorder="1" applyFont="1">
      <alignment readingOrder="0" vertical="bottom"/>
    </xf>
    <xf borderId="14" fillId="0" fontId="2" numFmtId="0" xfId="0" applyBorder="1" applyFont="1"/>
    <xf borderId="10" fillId="0" fontId="2" numFmtId="0" xfId="0" applyBorder="1" applyFont="1"/>
    <xf borderId="3" fillId="0" fontId="3" numFmtId="0" xfId="0" applyBorder="1" applyFont="1"/>
    <xf borderId="0" fillId="0" fontId="11" numFmtId="0" xfId="0" applyFont="1"/>
    <xf borderId="0" fillId="0" fontId="43" numFmtId="0" xfId="0" applyAlignment="1" applyFont="1">
      <alignment readingOrder="0" shrinkToFit="0" wrapText="1"/>
    </xf>
    <xf borderId="0" fillId="0" fontId="10" numFmtId="0" xfId="0" applyAlignment="1" applyFont="1">
      <alignment readingOrder="0" vertical="bottom"/>
    </xf>
    <xf borderId="0" fillId="0" fontId="43" numFmtId="0" xfId="0" applyAlignment="1" applyFont="1">
      <alignment shrinkToFit="0" vertical="bottom" wrapText="1"/>
    </xf>
    <xf borderId="0" fillId="0" fontId="43" numFmtId="0" xfId="0" applyAlignment="1" applyFont="1">
      <alignment vertical="bottom"/>
    </xf>
    <xf borderId="0" fillId="0" fontId="38" numFmtId="166" xfId="0" applyAlignment="1" applyFont="1" applyNumberFormat="1">
      <alignment vertical="bottom"/>
    </xf>
    <xf borderId="28" fillId="0" fontId="2" numFmtId="0" xfId="0" applyBorder="1" applyFont="1"/>
    <xf borderId="0" fillId="0" fontId="38" numFmtId="0" xfId="0" applyAlignment="1" applyFont="1">
      <alignment shrinkToFit="0" vertical="bottom" wrapText="1"/>
    </xf>
    <xf borderId="0" fillId="0" fontId="38" numFmtId="167" xfId="0" applyAlignment="1" applyFont="1" applyNumberFormat="1">
      <alignment horizontal="right" vertical="bottom"/>
    </xf>
    <xf borderId="0" fillId="0" fontId="38" numFmtId="167" xfId="0" applyAlignment="1" applyFont="1" applyNumberFormat="1">
      <alignment vertical="bottom"/>
    </xf>
    <xf borderId="0" fillId="0" fontId="38" numFmtId="3" xfId="0" applyAlignment="1" applyFont="1" applyNumberFormat="1">
      <alignment horizontal="right" vertical="bottom"/>
    </xf>
    <xf borderId="0" fillId="3" fontId="44" numFmtId="0" xfId="0" applyFont="1"/>
    <xf borderId="0" fillId="0" fontId="2" numFmtId="167" xfId="0" applyFont="1" applyNumberFormat="1"/>
    <xf borderId="0" fillId="0" fontId="22" numFmtId="0" xfId="0" applyAlignment="1" applyFont="1">
      <alignment readingOrder="0"/>
    </xf>
    <xf borderId="4" fillId="0" fontId="10" numFmtId="0" xfId="0" applyBorder="1" applyFont="1"/>
    <xf borderId="1" fillId="0" fontId="2" numFmtId="0" xfId="0" applyBorder="1" applyFont="1"/>
    <xf borderId="14" fillId="0" fontId="10" numFmtId="0" xfId="0" applyBorder="1" applyFont="1"/>
    <xf borderId="14" fillId="0" fontId="3" numFmtId="0" xfId="0" applyAlignment="1" applyBorder="1" applyFont="1">
      <alignment readingOrder="0"/>
    </xf>
    <xf borderId="14" fillId="0" fontId="2" numFmtId="0" xfId="0" applyAlignment="1" applyBorder="1" applyFont="1">
      <alignment shrinkToFit="0" wrapText="1"/>
    </xf>
    <xf borderId="1" fillId="3" fontId="15" numFmtId="0" xfId="0" applyBorder="1" applyFont="1"/>
    <xf borderId="10" fillId="0" fontId="3" numFmtId="0" xfId="0" applyAlignment="1" applyBorder="1" applyFont="1">
      <alignment shrinkToFit="0" wrapText="1"/>
    </xf>
    <xf borderId="11" fillId="0" fontId="3" numFmtId="0" xfId="0" applyBorder="1" applyFont="1"/>
    <xf borderId="1" fillId="3" fontId="45" numFmtId="0" xfId="0" applyBorder="1" applyFont="1"/>
    <xf borderId="0" fillId="0" fontId="46" numFmtId="0" xfId="0" applyAlignment="1" applyFont="1">
      <alignment shrinkToFit="0" vertical="bottom" wrapText="0"/>
    </xf>
    <xf borderId="0" fillId="0" fontId="47" numFmtId="2" xfId="0" applyAlignment="1" applyFont="1" applyNumberFormat="1">
      <alignment horizontal="right" vertical="top"/>
    </xf>
    <xf borderId="15" fillId="0" fontId="2" numFmtId="1" xfId="0" applyBorder="1" applyFont="1" applyNumberFormat="1"/>
    <xf borderId="11" fillId="0" fontId="2" numFmtId="1" xfId="0" applyBorder="1" applyFont="1" applyNumberFormat="1"/>
    <xf borderId="11" fillId="0" fontId="2" numFmtId="0" xfId="0" applyAlignment="1" applyBorder="1" applyFont="1">
      <alignment readingOrder="0"/>
    </xf>
    <xf borderId="0" fillId="0" fontId="10" numFmtId="2" xfId="0" applyAlignment="1" applyFont="1" applyNumberFormat="1">
      <alignment horizontal="right" vertical="bottom"/>
    </xf>
    <xf borderId="0" fillId="0" fontId="38" numFmtId="2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8.0"/>
    <col customWidth="1" min="2" max="2" width="24.57"/>
    <col customWidth="1" min="4" max="4" width="12.86"/>
    <col customWidth="1" min="5" max="6" width="9.0"/>
    <col customWidth="1" min="9" max="9" width="9.29"/>
    <col customWidth="1" min="11" max="11" width="0.43"/>
    <col customWidth="1" min="12" max="12" width="5.71"/>
    <col customWidth="1" min="13" max="13" width="22.86"/>
    <col customWidth="1" min="14" max="14" width="9.43"/>
  </cols>
  <sheetData>
    <row r="1" ht="18.0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3"/>
      <c r="B2" s="2"/>
      <c r="C2" s="3"/>
      <c r="D2" s="4"/>
      <c r="E2" s="3"/>
      <c r="F2" s="3"/>
      <c r="G2" s="3"/>
      <c r="H2" s="3"/>
      <c r="I2" s="3"/>
      <c r="J2" s="3"/>
      <c r="K2" s="3"/>
      <c r="L2" s="3"/>
      <c r="M2" s="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 t="s">
        <v>1</v>
      </c>
      <c r="B3" s="7"/>
      <c r="C3" s="3"/>
      <c r="D3" s="8"/>
      <c r="E3" s="3"/>
      <c r="F3" s="3"/>
      <c r="G3" s="3"/>
      <c r="H3" s="3"/>
      <c r="I3" s="3"/>
      <c r="J3" s="3"/>
      <c r="K3" s="3"/>
      <c r="L3" s="3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3"/>
      <c r="B4" s="2"/>
      <c r="C4" s="3"/>
      <c r="D4" s="10"/>
      <c r="E4" s="11"/>
      <c r="F4" s="11"/>
      <c r="G4" s="12"/>
      <c r="H4" s="13"/>
      <c r="I4" s="12"/>
      <c r="J4" s="14"/>
      <c r="K4" s="3"/>
      <c r="L4" s="3"/>
      <c r="M4" s="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5" t="s">
        <v>2</v>
      </c>
      <c r="B5" s="2"/>
      <c r="C5" s="3"/>
      <c r="D5" s="16"/>
      <c r="E5" s="3"/>
      <c r="F5" s="3"/>
      <c r="G5" s="12"/>
      <c r="H5" s="14"/>
      <c r="I5" s="12"/>
      <c r="J5" s="14"/>
      <c r="K5" s="3"/>
      <c r="L5" s="3"/>
      <c r="M5" s="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7" t="s">
        <v>3</v>
      </c>
      <c r="B6" s="18">
        <v>0.12</v>
      </c>
      <c r="C6" s="3"/>
      <c r="D6" s="19"/>
      <c r="E6" s="3"/>
      <c r="F6" s="3"/>
      <c r="G6" s="3"/>
      <c r="I6" s="3"/>
      <c r="K6" s="3"/>
      <c r="L6" s="3"/>
      <c r="M6" s="5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0"/>
      <c r="B7" s="21"/>
      <c r="C7" s="20"/>
      <c r="D7" s="20"/>
      <c r="E7" s="3"/>
      <c r="F7" s="3"/>
      <c r="G7" s="3"/>
      <c r="H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0"/>
      <c r="E8" s="3"/>
      <c r="F8" s="3"/>
      <c r="G8" s="3"/>
      <c r="H8" s="2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3" t="s">
        <v>4</v>
      </c>
      <c r="B9" s="24" t="s">
        <v>5</v>
      </c>
      <c r="C9" s="25" t="s">
        <v>6</v>
      </c>
      <c r="D9" s="26" t="s">
        <v>7</v>
      </c>
      <c r="E9" s="3"/>
      <c r="G9" s="3"/>
      <c r="H9" s="22"/>
      <c r="K9" s="27"/>
      <c r="L9" s="28" t="s">
        <v>8</v>
      </c>
      <c r="M9" s="29"/>
      <c r="N9" s="2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30" t="s">
        <v>9</v>
      </c>
      <c r="B10" s="31"/>
      <c r="C10" s="31"/>
      <c r="D10" s="31"/>
      <c r="E10" s="3"/>
      <c r="F10" s="3"/>
      <c r="G10" s="3"/>
      <c r="H10" s="2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32" t="s">
        <v>10</v>
      </c>
      <c r="B11" s="33">
        <f>Treningsbudsjett!J15+Treningsbudsjett!J19</f>
        <v>372739.2</v>
      </c>
      <c r="C11" s="34">
        <v>319982.0</v>
      </c>
      <c r="D11" s="35">
        <v>333200.0</v>
      </c>
      <c r="E11" s="5"/>
      <c r="F11" s="3"/>
      <c r="G11" s="5"/>
      <c r="H11" s="3"/>
      <c r="I11" s="3"/>
      <c r="J11" s="3"/>
      <c r="K11" s="3"/>
      <c r="L11" s="3"/>
      <c r="M11" s="3"/>
      <c r="N11" s="36">
        <f t="shared" ref="N11:N18" si="1">C11-D11</f>
        <v>-13218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32" t="s">
        <v>11</v>
      </c>
      <c r="B12" s="33">
        <f>Medlemskontigent!D9</f>
        <v>384110</v>
      </c>
      <c r="C12" s="34">
        <v>390098.0</v>
      </c>
      <c r="D12" s="35">
        <v>361020.0</v>
      </c>
      <c r="E12" s="5"/>
      <c r="F12" s="3"/>
      <c r="G12" s="5">
        <v>3260.0</v>
      </c>
      <c r="H12" s="3"/>
      <c r="I12" s="3"/>
      <c r="J12" s="3"/>
      <c r="K12" s="3"/>
      <c r="L12" s="3"/>
      <c r="M12" s="3"/>
      <c r="N12" s="36">
        <f t="shared" si="1"/>
        <v>29078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32" t="s">
        <v>12</v>
      </c>
      <c r="B13" s="33">
        <f>Kurs!I11</f>
        <v>76487.625</v>
      </c>
      <c r="C13" s="34">
        <v>79400.0</v>
      </c>
      <c r="D13" s="35">
        <v>109794.0</v>
      </c>
      <c r="E13" s="3"/>
      <c r="F13" s="3"/>
      <c r="G13" s="3"/>
      <c r="H13" s="22"/>
      <c r="N13" s="36">
        <f t="shared" si="1"/>
        <v>-30394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32" t="s">
        <v>13</v>
      </c>
      <c r="B14" s="33">
        <f>Driftstilskudd!G28</f>
        <v>13000</v>
      </c>
      <c r="C14" s="35">
        <v>19113.0</v>
      </c>
      <c r="D14" s="35">
        <v>13000.0</v>
      </c>
      <c r="E14" s="3" t="s">
        <v>14</v>
      </c>
      <c r="F14" s="3"/>
      <c r="G14" s="3"/>
      <c r="H14" s="3"/>
      <c r="I14" s="3"/>
      <c r="J14" s="3"/>
      <c r="K14" s="3"/>
      <c r="L14" s="3"/>
      <c r="M14" s="3"/>
      <c r="N14" s="36">
        <f t="shared" si="1"/>
        <v>6113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32" t="s">
        <v>15</v>
      </c>
      <c r="B15" s="33">
        <v>0.0</v>
      </c>
      <c r="C15" s="35">
        <v>0.0</v>
      </c>
      <c r="D15" s="33">
        <v>0.0</v>
      </c>
      <c r="E15" s="3"/>
      <c r="F15" s="3"/>
      <c r="G15" s="3"/>
      <c r="H15" s="3"/>
      <c r="I15" s="3"/>
      <c r="J15" s="3"/>
      <c r="K15" s="3"/>
      <c r="L15" s="3"/>
      <c r="M15" s="3"/>
      <c r="N15" s="36">
        <f t="shared" si="1"/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2" t="s">
        <v>16</v>
      </c>
      <c r="B16" s="33">
        <v>7200.0</v>
      </c>
      <c r="C16" s="35">
        <v>9280.0</v>
      </c>
      <c r="D16" s="33">
        <v>7200.0</v>
      </c>
      <c r="E16" s="3" t="s">
        <v>17</v>
      </c>
      <c r="F16" s="3"/>
      <c r="G16" s="3"/>
      <c r="H16" s="3"/>
      <c r="I16" s="3"/>
      <c r="J16" s="3"/>
      <c r="K16" s="3"/>
      <c r="L16" s="3"/>
      <c r="M16" s="3"/>
      <c r="N16" s="36">
        <f t="shared" si="1"/>
        <v>2080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2" t="s">
        <v>18</v>
      </c>
      <c r="B17" s="35">
        <v>2000.0</v>
      </c>
      <c r="C17" s="35">
        <v>2400.0</v>
      </c>
      <c r="D17" s="33">
        <v>3000.0</v>
      </c>
      <c r="E17" s="3" t="s">
        <v>19</v>
      </c>
      <c r="F17" s="3"/>
      <c r="G17" s="3"/>
      <c r="H17" s="3"/>
      <c r="I17" s="3"/>
      <c r="J17" s="3"/>
      <c r="K17" s="3"/>
      <c r="L17" s="3"/>
      <c r="M17" s="3"/>
      <c r="N17" s="36">
        <f t="shared" si="1"/>
        <v>-600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2" t="s">
        <v>20</v>
      </c>
      <c r="B18" s="35">
        <v>20000.0</v>
      </c>
      <c r="C18" s="35">
        <v>36416.0</v>
      </c>
      <c r="D18" s="35">
        <v>15000.0</v>
      </c>
      <c r="E18" s="3" t="s">
        <v>21</v>
      </c>
      <c r="F18" s="3"/>
      <c r="G18" s="3"/>
      <c r="H18" s="3"/>
      <c r="I18" s="3"/>
      <c r="J18" s="11"/>
      <c r="K18" s="11"/>
      <c r="L18" s="3"/>
      <c r="M18" s="3"/>
      <c r="N18" s="36">
        <f t="shared" si="1"/>
        <v>21416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7" t="s">
        <v>22</v>
      </c>
      <c r="B19" s="38">
        <f t="shared" ref="B19:D19" si="2">SUM(B11:B18)</f>
        <v>875536.825</v>
      </c>
      <c r="C19" s="38">
        <f t="shared" si="2"/>
        <v>856689</v>
      </c>
      <c r="D19" s="38">
        <f t="shared" si="2"/>
        <v>842214</v>
      </c>
      <c r="E19" s="3"/>
      <c r="F19" s="3"/>
      <c r="G19" s="3"/>
      <c r="H19" s="3"/>
      <c r="I19" s="3"/>
      <c r="J19" s="3"/>
      <c r="K19" s="3"/>
      <c r="L19" s="3"/>
      <c r="M19" s="39" t="s">
        <v>23</v>
      </c>
      <c r="N19" s="40">
        <f>SUM(N11:N18)</f>
        <v>14475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23" t="s">
        <v>24</v>
      </c>
      <c r="B20" s="33"/>
      <c r="C20" s="33"/>
      <c r="D20" s="33"/>
      <c r="E20" s="3"/>
      <c r="F20" s="3"/>
      <c r="G20" s="3"/>
      <c r="H20" s="3"/>
      <c r="I20" s="3"/>
      <c r="J20" s="3"/>
      <c r="K20" s="3"/>
      <c r="L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2" t="s">
        <v>25</v>
      </c>
      <c r="B21" s="33">
        <f>Driftstilskudd!G9</f>
        <v>276252</v>
      </c>
      <c r="C21" s="35">
        <v>456776.0</v>
      </c>
      <c r="D21" s="35">
        <v>414717.0</v>
      </c>
      <c r="E21" s="41" t="s">
        <v>26</v>
      </c>
      <c r="F21" s="3"/>
      <c r="G21" s="3"/>
      <c r="H21" s="3"/>
      <c r="I21" s="3"/>
      <c r="J21" s="3"/>
      <c r="K21" s="3"/>
      <c r="L21" s="3"/>
      <c r="M21" s="3"/>
      <c r="N21" s="36">
        <f t="shared" ref="N21:N24" si="3">C21-D21</f>
        <v>42059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2" t="s">
        <v>27</v>
      </c>
      <c r="B22" s="33">
        <v>35000.0</v>
      </c>
      <c r="C22" s="35">
        <v>39220.0</v>
      </c>
      <c r="D22" s="35">
        <v>35000.0</v>
      </c>
      <c r="E22" s="3"/>
      <c r="F22" s="3"/>
      <c r="G22" s="3"/>
      <c r="H22" s="3"/>
      <c r="I22" s="3"/>
      <c r="J22" s="3"/>
      <c r="K22" s="3"/>
      <c r="L22" s="3"/>
      <c r="M22" s="3"/>
      <c r="N22" s="36">
        <f t="shared" si="3"/>
        <v>4220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2" t="s">
        <v>28</v>
      </c>
      <c r="B23" s="33" t="str">
        <f>Arrangement!D22</f>
        <v/>
      </c>
      <c r="C23" s="35">
        <v>20000.0</v>
      </c>
      <c r="D23" s="35">
        <v>40000.0</v>
      </c>
      <c r="E23" s="3"/>
      <c r="F23" s="3"/>
      <c r="G23" s="3"/>
      <c r="H23" s="3"/>
      <c r="I23" s="3"/>
      <c r="J23" s="3"/>
      <c r="K23" s="3"/>
      <c r="L23" s="3"/>
      <c r="M23" s="3"/>
      <c r="N23" s="36">
        <f t="shared" si="3"/>
        <v>-20000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2" t="s">
        <v>29</v>
      </c>
      <c r="B24" s="33">
        <v>500.0</v>
      </c>
      <c r="C24" s="35">
        <v>110.0</v>
      </c>
      <c r="D24" s="33">
        <v>500.0</v>
      </c>
      <c r="E24" s="3"/>
      <c r="F24" s="3"/>
      <c r="G24" s="3"/>
      <c r="H24" s="3"/>
      <c r="I24" s="3"/>
      <c r="J24" s="3"/>
      <c r="K24" s="3"/>
      <c r="L24" s="3"/>
      <c r="M24" s="3"/>
      <c r="N24" s="36">
        <f t="shared" si="3"/>
        <v>-390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7" t="s">
        <v>30</v>
      </c>
      <c r="B25" s="38">
        <f t="shared" ref="B25:D25" si="4">SUM(B21:B24)</f>
        <v>311752</v>
      </c>
      <c r="C25" s="38">
        <f t="shared" si="4"/>
        <v>516106</v>
      </c>
      <c r="D25" s="38">
        <f t="shared" si="4"/>
        <v>490217</v>
      </c>
      <c r="E25" s="3"/>
      <c r="F25" s="3"/>
      <c r="G25" s="3"/>
      <c r="H25" s="3"/>
      <c r="I25" s="3"/>
      <c r="J25" s="3"/>
      <c r="K25" s="3"/>
      <c r="L25" s="3"/>
      <c r="M25" s="39" t="s">
        <v>31</v>
      </c>
      <c r="N25" s="40">
        <f>SUM(N21:N24)</f>
        <v>25889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2" t="s">
        <v>32</v>
      </c>
      <c r="B26" s="43">
        <f t="shared" ref="B26:D26" si="5">SUM(B19+B25)</f>
        <v>1187288.825</v>
      </c>
      <c r="C26" s="43">
        <f t="shared" si="5"/>
        <v>1372795</v>
      </c>
      <c r="D26" s="43">
        <f t="shared" si="5"/>
        <v>1332431</v>
      </c>
      <c r="E26" s="3"/>
      <c r="F26" s="3"/>
      <c r="G26" s="3"/>
      <c r="H26" s="3"/>
      <c r="I26" s="3"/>
      <c r="J26" s="3"/>
      <c r="K26" s="3"/>
      <c r="L26" s="3"/>
      <c r="M26" s="44" t="s">
        <v>33</v>
      </c>
      <c r="N26" s="36">
        <f>C26-D26</f>
        <v>40364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23" t="s">
        <v>34</v>
      </c>
      <c r="B27" s="33"/>
      <c r="C27" s="33"/>
      <c r="D27" s="3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0" t="s">
        <v>35</v>
      </c>
      <c r="B28" s="45"/>
      <c r="C28" s="45"/>
      <c r="D28" s="4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6" t="s">
        <v>36</v>
      </c>
      <c r="B29" s="33">
        <f>Kurs!E30</f>
        <v>37500</v>
      </c>
      <c r="C29" s="35">
        <v>58589.0</v>
      </c>
      <c r="D29" s="35">
        <v>37000.0</v>
      </c>
      <c r="E29" s="15" t="s">
        <v>37</v>
      </c>
      <c r="F29" s="3"/>
      <c r="G29" s="3"/>
      <c r="H29" s="3"/>
      <c r="I29" s="3"/>
      <c r="J29" s="3"/>
      <c r="K29" s="3"/>
      <c r="L29" s="3"/>
      <c r="M29" s="3"/>
      <c r="N29" s="36">
        <f t="shared" ref="N29:N33" si="6">C29-D29</f>
        <v>21589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2" t="s">
        <v>38</v>
      </c>
      <c r="B30" s="33">
        <f>(Treningsbudsjett!J20 +Treningsbudsjett!J24)*-1</f>
        <v>88140</v>
      </c>
      <c r="C30" s="35">
        <v>37495.0</v>
      </c>
      <c r="D30" s="35">
        <v>79740.0</v>
      </c>
      <c r="E30" s="3" t="s">
        <v>39</v>
      </c>
      <c r="F30" s="3"/>
      <c r="G30" s="3"/>
      <c r="H30" s="3"/>
      <c r="I30" s="3"/>
      <c r="J30" s="3"/>
      <c r="K30" s="3"/>
      <c r="L30" s="3"/>
      <c r="M30" s="3"/>
      <c r="N30" s="36">
        <f t="shared" si="6"/>
        <v>-42245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2" t="s">
        <v>40</v>
      </c>
      <c r="B31" s="33">
        <f>Treningsbudsjett!J21*-1-6000</f>
        <v>34000</v>
      </c>
      <c r="C31" s="35">
        <v>13522.0</v>
      </c>
      <c r="D31" s="35">
        <v>30000.0</v>
      </c>
      <c r="E31" s="3" t="s">
        <v>41</v>
      </c>
      <c r="F31" s="3"/>
      <c r="G31" s="3"/>
      <c r="H31" s="3"/>
      <c r="I31" s="3"/>
      <c r="J31" s="3"/>
      <c r="K31" s="3"/>
      <c r="L31" s="3"/>
      <c r="M31" s="3"/>
      <c r="N31" s="36">
        <f t="shared" si="6"/>
        <v>-16478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2" t="s">
        <v>42</v>
      </c>
      <c r="B32" s="33">
        <f>Arrangement!A12</f>
        <v>40000</v>
      </c>
      <c r="C32" s="35">
        <v>12272.0</v>
      </c>
      <c r="D32" s="33">
        <v>40000.0</v>
      </c>
      <c r="E32" s="3" t="s">
        <v>43</v>
      </c>
      <c r="F32" s="3"/>
      <c r="G32" s="3"/>
      <c r="H32" s="3"/>
      <c r="I32" s="3"/>
      <c r="J32" s="3"/>
      <c r="K32" s="3"/>
      <c r="L32" s="3"/>
      <c r="M32" s="3"/>
      <c r="N32" s="36">
        <f t="shared" si="6"/>
        <v>-27728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2" t="s">
        <v>44</v>
      </c>
      <c r="B33" s="33">
        <f>20000+B22</f>
        <v>55000</v>
      </c>
      <c r="C33" s="35">
        <v>53839.0</v>
      </c>
      <c r="D33" s="35">
        <v>55000.0</v>
      </c>
      <c r="E33" s="5" t="s">
        <v>45</v>
      </c>
      <c r="F33" s="3"/>
      <c r="G33" s="3"/>
      <c r="H33" s="3"/>
      <c r="I33" s="3"/>
      <c r="J33" s="3"/>
      <c r="K33" s="3"/>
      <c r="L33" s="3"/>
      <c r="M33" s="3"/>
      <c r="N33" s="36">
        <f t="shared" si="6"/>
        <v>-1161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7" t="s">
        <v>46</v>
      </c>
      <c r="B34" s="38">
        <f t="shared" ref="B34:D34" si="7">SUM(B29:B33)</f>
        <v>254640</v>
      </c>
      <c r="C34" s="38">
        <f t="shared" si="7"/>
        <v>175717</v>
      </c>
      <c r="D34" s="38">
        <f t="shared" si="7"/>
        <v>241740</v>
      </c>
      <c r="E34" s="3"/>
      <c r="F34" s="3"/>
      <c r="G34" s="3"/>
      <c r="H34" s="3"/>
      <c r="I34" s="3"/>
      <c r="J34" s="3"/>
      <c r="K34" s="3"/>
      <c r="L34" s="3"/>
      <c r="M34" s="39" t="s">
        <v>47</v>
      </c>
      <c r="N34" s="40">
        <f>SUM(N29:N33)</f>
        <v>-66023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23" t="s">
        <v>48</v>
      </c>
      <c r="B35" s="33"/>
      <c r="C35" s="33"/>
      <c r="D35" s="3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2" t="s">
        <v>49</v>
      </c>
      <c r="B36" s="33">
        <f>(361500/52*47)+15000</f>
        <v>341740.3846</v>
      </c>
      <c r="C36" s="34">
        <v>332625.0</v>
      </c>
      <c r="D36" s="35">
        <v>328183.0</v>
      </c>
      <c r="E36" s="15" t="s">
        <v>50</v>
      </c>
      <c r="F36" s="3"/>
      <c r="G36" s="3"/>
      <c r="H36" s="3"/>
      <c r="I36" s="3"/>
      <c r="J36" s="3"/>
      <c r="K36" s="3"/>
      <c r="L36" s="3"/>
      <c r="M36" s="3"/>
      <c r="N36" s="36">
        <f t="shared" ref="N36:N41" si="8">C36-D36</f>
        <v>4442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2" t="s">
        <v>51</v>
      </c>
      <c r="B37" s="33">
        <f>Treningsbudsjett!G20+Kurs!C45</f>
        <v>237694.2857</v>
      </c>
      <c r="C37" s="34">
        <v>196010.0</v>
      </c>
      <c r="D37" s="35">
        <v>251471.0</v>
      </c>
      <c r="E37" s="3" t="s">
        <v>52</v>
      </c>
      <c r="F37" s="3"/>
      <c r="G37" s="3"/>
      <c r="H37" s="3"/>
      <c r="I37" s="3"/>
      <c r="J37" s="3"/>
      <c r="K37" s="3"/>
      <c r="L37" s="3"/>
      <c r="M37" s="3"/>
      <c r="N37" s="36">
        <f t="shared" si="8"/>
        <v>-55461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2" t="s">
        <v>53</v>
      </c>
      <c r="B38" s="33">
        <f>C36*feriepengesats+Treningsbudsjett!G21+Kurs!C46</f>
        <v>68438.31429</v>
      </c>
      <c r="C38" s="34">
        <v>64436.0</v>
      </c>
      <c r="D38" s="35">
        <v>65772.0</v>
      </c>
      <c r="E38" s="5" t="s">
        <v>54</v>
      </c>
      <c r="F38" s="3"/>
      <c r="G38" s="3"/>
      <c r="H38" s="3"/>
      <c r="I38" s="3"/>
      <c r="J38" s="3"/>
      <c r="K38" s="3"/>
      <c r="L38" s="3"/>
      <c r="M38" s="3"/>
      <c r="N38" s="36">
        <f t="shared" si="8"/>
        <v>-1336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2" t="s">
        <v>55</v>
      </c>
      <c r="B39" s="33">
        <f>(B36+B38)/100*14.1</f>
        <v>57835.19655</v>
      </c>
      <c r="C39" s="34">
        <v>46900.0</v>
      </c>
      <c r="D39" s="35">
        <v>55548.0</v>
      </c>
      <c r="E39" s="3" t="s">
        <v>56</v>
      </c>
      <c r="F39" s="3"/>
      <c r="G39" s="3"/>
      <c r="H39" s="3"/>
      <c r="I39" s="3"/>
      <c r="J39" s="3"/>
      <c r="K39" s="3"/>
      <c r="L39" s="3"/>
      <c r="M39" s="3"/>
      <c r="N39" s="36">
        <f t="shared" si="8"/>
        <v>-8648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2" t="s">
        <v>57</v>
      </c>
      <c r="B40" s="33">
        <v>3600.0</v>
      </c>
      <c r="C40" s="35">
        <v>-502.0</v>
      </c>
      <c r="D40" s="35">
        <v>3600.0</v>
      </c>
      <c r="E40" s="3" t="s">
        <v>58</v>
      </c>
      <c r="F40" s="3"/>
      <c r="G40" s="3"/>
      <c r="H40" s="3"/>
      <c r="I40" s="3"/>
      <c r="J40" s="3"/>
      <c r="K40" s="3"/>
      <c r="L40" s="3"/>
      <c r="M40" s="3"/>
      <c r="N40" s="36">
        <f t="shared" si="8"/>
        <v>-4102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2" t="s">
        <v>59</v>
      </c>
      <c r="B41" s="33">
        <f>'Øvrige '!C35+6000</f>
        <v>10500</v>
      </c>
      <c r="C41" s="35">
        <v>2504.0</v>
      </c>
      <c r="D41" s="35">
        <v>9500.0</v>
      </c>
      <c r="E41" s="3" t="s">
        <v>60</v>
      </c>
      <c r="F41" s="3"/>
      <c r="G41" s="3"/>
      <c r="H41" s="3"/>
      <c r="I41" s="3"/>
      <c r="J41" s="3"/>
      <c r="K41" s="3"/>
      <c r="L41" s="3"/>
      <c r="M41" s="3"/>
      <c r="N41" s="36">
        <f t="shared" si="8"/>
        <v>-6996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7" t="s">
        <v>61</v>
      </c>
      <c r="B42" s="38">
        <f t="shared" ref="B42:D42" si="9">SUM(B36:B41)</f>
        <v>719808.1812</v>
      </c>
      <c r="C42" s="38">
        <f t="shared" si="9"/>
        <v>641973</v>
      </c>
      <c r="D42" s="38">
        <f t="shared" si="9"/>
        <v>714074</v>
      </c>
      <c r="E42" s="3"/>
      <c r="F42" s="3"/>
      <c r="G42" s="3"/>
      <c r="H42" s="3"/>
      <c r="I42" s="3"/>
      <c r="J42" s="3"/>
      <c r="K42" s="3"/>
      <c r="L42" s="3"/>
      <c r="M42" s="39" t="s">
        <v>62</v>
      </c>
      <c r="N42" s="40">
        <f>SUM(N36:N41)</f>
        <v>-72101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3" t="s">
        <v>63</v>
      </c>
      <c r="B43" s="33"/>
      <c r="C43" s="33"/>
      <c r="D43" s="3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2" t="s">
        <v>64</v>
      </c>
      <c r="B44" s="33">
        <v>2500.0</v>
      </c>
      <c r="C44" s="35">
        <v>0.0</v>
      </c>
      <c r="D44" s="35">
        <v>2500.0</v>
      </c>
      <c r="E44" s="3" t="s">
        <v>65</v>
      </c>
      <c r="F44" s="3"/>
      <c r="G44" s="3"/>
      <c r="H44" s="3"/>
      <c r="I44" s="3"/>
      <c r="J44" s="3"/>
      <c r="K44" s="3"/>
      <c r="L44" s="3"/>
      <c r="M44" s="3"/>
      <c r="N44" s="36">
        <f t="shared" ref="N44:N62" si="10">C44-D44</f>
        <v>-2500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2" t="s">
        <v>66</v>
      </c>
      <c r="B45" s="33" t="str">
        <f>Arrangement!D32</f>
        <v/>
      </c>
      <c r="C45" s="35">
        <v>14574.0</v>
      </c>
      <c r="D45" s="35">
        <v>25000.0</v>
      </c>
      <c r="E45" s="3" t="s">
        <v>67</v>
      </c>
      <c r="F45" s="3"/>
      <c r="G45" s="3"/>
      <c r="H45" s="3"/>
      <c r="I45" s="3"/>
      <c r="J45" s="3"/>
      <c r="K45" s="3"/>
      <c r="L45" s="3"/>
      <c r="M45" s="3"/>
      <c r="N45" s="36">
        <f t="shared" si="10"/>
        <v>-10426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2" t="s">
        <v>68</v>
      </c>
      <c r="B46" s="33">
        <f>'Øvrige '!D25</f>
        <v>29310</v>
      </c>
      <c r="C46" s="35">
        <v>23531.0</v>
      </c>
      <c r="D46" s="35">
        <v>29310.0</v>
      </c>
      <c r="E46" s="3" t="s">
        <v>69</v>
      </c>
      <c r="F46" s="3"/>
      <c r="G46" s="3"/>
      <c r="H46" s="3"/>
      <c r="I46" s="3"/>
      <c r="J46" s="3"/>
      <c r="K46" s="3"/>
      <c r="L46" s="3"/>
      <c r="M46" s="3"/>
      <c r="N46" s="36">
        <f t="shared" si="10"/>
        <v>-5779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2" t="s">
        <v>70</v>
      </c>
      <c r="B47" s="33" t="str">
        <f>Arrangement!D33</f>
        <v/>
      </c>
      <c r="C47" s="35">
        <v>0.0</v>
      </c>
      <c r="D47" s="35">
        <v>50000.0</v>
      </c>
      <c r="E47" s="3" t="s">
        <v>71</v>
      </c>
      <c r="F47" s="3"/>
      <c r="G47" s="3"/>
      <c r="H47" s="3"/>
      <c r="I47" s="3"/>
      <c r="J47" s="3"/>
      <c r="K47" s="3"/>
      <c r="L47" s="3"/>
      <c r="M47" s="3"/>
      <c r="N47" s="36">
        <f t="shared" si="10"/>
        <v>-50000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2" t="s">
        <v>72</v>
      </c>
      <c r="B48" s="33">
        <f>Treningsbudsjett!J23*-1</f>
        <v>2000</v>
      </c>
      <c r="C48" s="35">
        <v>0.0</v>
      </c>
      <c r="D48" s="33">
        <v>4000.0</v>
      </c>
      <c r="E48" s="3" t="s">
        <v>73</v>
      </c>
      <c r="F48" s="3"/>
      <c r="G48" s="3"/>
      <c r="H48" s="3"/>
      <c r="I48" s="3"/>
      <c r="J48" s="3"/>
      <c r="K48" s="3"/>
      <c r="L48" s="3"/>
      <c r="M48" s="3"/>
      <c r="N48" s="36">
        <f t="shared" si="10"/>
        <v>-4000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2" t="s">
        <v>74</v>
      </c>
      <c r="B49" s="33">
        <v>30000.0</v>
      </c>
      <c r="C49" s="35">
        <v>26830.0</v>
      </c>
      <c r="D49" s="33">
        <v>30000.0</v>
      </c>
      <c r="E49" s="3" t="s">
        <v>75</v>
      </c>
      <c r="F49" s="3"/>
      <c r="G49" s="3"/>
      <c r="H49" s="3"/>
      <c r="I49" s="3"/>
      <c r="J49" s="3"/>
      <c r="K49" s="3"/>
      <c r="L49" s="3"/>
      <c r="M49" s="3"/>
      <c r="N49" s="36">
        <f t="shared" si="10"/>
        <v>-3170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2" t="s">
        <v>76</v>
      </c>
      <c r="B50" s="35">
        <v>2000.0</v>
      </c>
      <c r="C50" s="35">
        <v>778.0</v>
      </c>
      <c r="D50" s="33">
        <v>3000.0</v>
      </c>
      <c r="E50" s="3"/>
      <c r="F50" s="3"/>
      <c r="G50" s="3"/>
      <c r="H50" s="3"/>
      <c r="I50" s="3"/>
      <c r="J50" s="3"/>
      <c r="K50" s="3"/>
      <c r="L50" s="3"/>
      <c r="M50" s="3"/>
      <c r="N50" s="36">
        <f t="shared" si="10"/>
        <v>-2222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2" t="s">
        <v>77</v>
      </c>
      <c r="B51" s="35">
        <v>3000.0</v>
      </c>
      <c r="C51" s="35">
        <v>1590.0</v>
      </c>
      <c r="D51" s="33">
        <v>10000.0</v>
      </c>
      <c r="E51" s="5" t="s">
        <v>78</v>
      </c>
      <c r="F51" s="3"/>
      <c r="G51" s="3"/>
      <c r="H51" s="3"/>
      <c r="I51" s="3"/>
      <c r="J51" s="3"/>
      <c r="K51" s="3"/>
      <c r="L51" s="3"/>
      <c r="M51" s="3"/>
      <c r="N51" s="36">
        <f t="shared" si="10"/>
        <v>-8410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2" t="s">
        <v>79</v>
      </c>
      <c r="B52" s="33">
        <f>'Øvrige '!C17+(Treningsbudsjett!J26*-1)</f>
        <v>23000</v>
      </c>
      <c r="C52" s="35">
        <v>18475.0</v>
      </c>
      <c r="D52" s="35">
        <v>48000.0</v>
      </c>
      <c r="E52" s="5" t="s">
        <v>80</v>
      </c>
      <c r="F52" s="3"/>
      <c r="G52" s="3"/>
      <c r="H52" s="3"/>
      <c r="I52" s="3"/>
      <c r="J52" s="3"/>
      <c r="K52" s="3"/>
      <c r="L52" s="3"/>
      <c r="M52" s="3"/>
      <c r="N52" s="36">
        <f t="shared" si="10"/>
        <v>-29525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2" t="s">
        <v>81</v>
      </c>
      <c r="B53" s="33">
        <f>1050*20</f>
        <v>21000</v>
      </c>
      <c r="C53" s="35">
        <v>18780.0</v>
      </c>
      <c r="D53" s="35">
        <v>20400.0</v>
      </c>
      <c r="E53" s="5" t="s">
        <v>82</v>
      </c>
      <c r="F53" s="3"/>
      <c r="G53" s="3"/>
      <c r="H53" s="3"/>
      <c r="I53" s="3"/>
      <c r="J53" s="3"/>
      <c r="K53" s="3"/>
      <c r="L53" s="3"/>
      <c r="M53" s="3"/>
      <c r="N53" s="36">
        <f t="shared" si="10"/>
        <v>-1620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2" t="s">
        <v>83</v>
      </c>
      <c r="B54" s="33">
        <v>200.0</v>
      </c>
      <c r="C54" s="35">
        <v>0.0</v>
      </c>
      <c r="D54" s="35">
        <v>200.0</v>
      </c>
      <c r="E54" s="5" t="s">
        <v>84</v>
      </c>
      <c r="F54" s="3"/>
      <c r="G54" s="3"/>
      <c r="H54" s="3"/>
      <c r="I54" s="3"/>
      <c r="J54" s="3"/>
      <c r="K54" s="3"/>
      <c r="L54" s="3"/>
      <c r="M54" s="3"/>
      <c r="N54" s="36">
        <f t="shared" si="10"/>
        <v>-200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2" t="s">
        <v>85</v>
      </c>
      <c r="B55" s="33">
        <f>(Treningsbudsjett!J22*-1)</f>
        <v>8000</v>
      </c>
      <c r="C55" s="35">
        <v>15799.0</v>
      </c>
      <c r="D55" s="35">
        <v>5000.0</v>
      </c>
      <c r="E55" s="3" t="s">
        <v>86</v>
      </c>
      <c r="F55" s="3"/>
      <c r="G55" s="3"/>
      <c r="H55" s="3"/>
      <c r="I55" s="3"/>
      <c r="J55" s="3"/>
      <c r="K55" s="3"/>
      <c r="L55" s="3"/>
      <c r="M55" s="3"/>
      <c r="N55" s="36">
        <f t="shared" si="10"/>
        <v>10799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2" t="s">
        <v>87</v>
      </c>
      <c r="B56" s="33">
        <v>1500.0</v>
      </c>
      <c r="C56" s="35">
        <v>100.0</v>
      </c>
      <c r="D56" s="33">
        <v>1500.0</v>
      </c>
      <c r="E56" s="3" t="s">
        <v>88</v>
      </c>
      <c r="F56" s="3"/>
      <c r="G56" s="3"/>
      <c r="H56" s="3"/>
      <c r="I56" s="3"/>
      <c r="J56" s="3"/>
      <c r="K56" s="3"/>
      <c r="L56" s="3"/>
      <c r="M56" s="3"/>
      <c r="N56" s="36">
        <f t="shared" si="10"/>
        <v>-1400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2" t="s">
        <v>89</v>
      </c>
      <c r="B57" s="33">
        <f>'Øvrige '!C10</f>
        <v>30000</v>
      </c>
      <c r="C57" s="35">
        <v>25709.0</v>
      </c>
      <c r="D57" s="35">
        <v>30000.0</v>
      </c>
      <c r="E57" s="3" t="s">
        <v>90</v>
      </c>
      <c r="F57" s="3"/>
      <c r="G57" s="3"/>
      <c r="H57" s="3"/>
      <c r="I57" s="3"/>
      <c r="J57" s="3"/>
      <c r="K57" s="3"/>
      <c r="L57" s="3"/>
      <c r="M57" s="3"/>
      <c r="N57" s="36">
        <f t="shared" si="10"/>
        <v>-4291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2" t="s">
        <v>91</v>
      </c>
      <c r="B58" s="35">
        <v>25000.0</v>
      </c>
      <c r="C58" s="35">
        <v>10390.0</v>
      </c>
      <c r="D58" s="35">
        <v>27000.0</v>
      </c>
      <c r="E58" s="47" t="s">
        <v>92</v>
      </c>
      <c r="F58" s="3"/>
      <c r="G58" s="3"/>
      <c r="H58" s="3"/>
      <c r="I58" s="3"/>
      <c r="J58" s="3"/>
      <c r="K58" s="3"/>
      <c r="L58" s="3"/>
      <c r="M58" s="3"/>
      <c r="N58" s="36">
        <f t="shared" si="10"/>
        <v>-16610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2" t="s">
        <v>93</v>
      </c>
      <c r="B59" s="35">
        <f>(Treningsbudsjett!J25*-1)+4000</f>
        <v>8000</v>
      </c>
      <c r="C59" s="35">
        <v>5987.0</v>
      </c>
      <c r="D59" s="35">
        <v>38000.0</v>
      </c>
      <c r="E59" s="5" t="s">
        <v>94</v>
      </c>
      <c r="F59" s="3"/>
      <c r="G59" s="3"/>
      <c r="H59" s="3"/>
      <c r="I59" s="3"/>
      <c r="J59" s="3"/>
      <c r="K59" s="3"/>
      <c r="L59" s="3"/>
      <c r="M59" s="3"/>
      <c r="N59" s="36">
        <f t="shared" si="10"/>
        <v>-32013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2" t="s">
        <v>95</v>
      </c>
      <c r="B60" s="33">
        <f>Forsikring!C11</f>
        <v>17644</v>
      </c>
      <c r="C60" s="35">
        <v>7441.0</v>
      </c>
      <c r="D60" s="35">
        <v>17441.0</v>
      </c>
      <c r="E60" s="3" t="s">
        <v>96</v>
      </c>
      <c r="F60" s="3"/>
      <c r="G60" s="3"/>
      <c r="H60" s="3"/>
      <c r="I60" s="3"/>
      <c r="J60" s="3"/>
      <c r="K60" s="3"/>
      <c r="L60" s="3"/>
      <c r="M60" s="3"/>
      <c r="N60" s="36">
        <f t="shared" si="10"/>
        <v>-10000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2" t="s">
        <v>97</v>
      </c>
      <c r="B61" s="35">
        <v>6000.0</v>
      </c>
      <c r="C61" s="35">
        <v>4607.0</v>
      </c>
      <c r="D61" s="33">
        <v>8000.0</v>
      </c>
      <c r="E61" s="3" t="s">
        <v>98</v>
      </c>
      <c r="F61" s="3"/>
      <c r="G61" s="3"/>
      <c r="H61" s="3"/>
      <c r="I61" s="3"/>
      <c r="J61" s="3"/>
      <c r="K61" s="3"/>
      <c r="L61" s="3"/>
      <c r="M61" s="3"/>
      <c r="N61" s="36">
        <f t="shared" si="10"/>
        <v>-3393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2" t="s">
        <v>99</v>
      </c>
      <c r="B62" s="33" t="str">
        <f>Arrangement!D29</f>
        <v/>
      </c>
      <c r="C62" s="35">
        <v>19742.0</v>
      </c>
      <c r="D62" s="35">
        <v>20000.0</v>
      </c>
      <c r="E62" s="5" t="s">
        <v>100</v>
      </c>
      <c r="F62" s="3"/>
      <c r="G62" s="3"/>
      <c r="H62" s="3"/>
      <c r="I62" s="3"/>
      <c r="J62" s="3"/>
      <c r="K62" s="3"/>
      <c r="L62" s="3"/>
      <c r="M62" s="3"/>
      <c r="N62" s="36">
        <f t="shared" si="10"/>
        <v>-258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7" t="s">
        <v>101</v>
      </c>
      <c r="B63" s="38">
        <f t="shared" ref="B63:D63" si="11">SUM(B44:B62)</f>
        <v>209154</v>
      </c>
      <c r="C63" s="38">
        <f t="shared" si="11"/>
        <v>194333</v>
      </c>
      <c r="D63" s="38">
        <f t="shared" si="11"/>
        <v>369351</v>
      </c>
      <c r="E63" s="3"/>
      <c r="F63" s="3"/>
      <c r="G63" s="3"/>
      <c r="H63" s="3"/>
      <c r="I63" s="3"/>
      <c r="J63" s="3"/>
      <c r="K63" s="3"/>
      <c r="L63" s="3"/>
      <c r="M63" s="39" t="s">
        <v>102</v>
      </c>
      <c r="N63" s="40">
        <f>SUM(N44:N62)</f>
        <v>-175018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42" t="s">
        <v>103</v>
      </c>
      <c r="B64" s="43">
        <f t="shared" ref="B64:D64" si="12">B42+B63+B34</f>
        <v>1183602.181</v>
      </c>
      <c r="C64" s="43">
        <f t="shared" si="12"/>
        <v>1012023</v>
      </c>
      <c r="D64" s="43">
        <f t="shared" si="12"/>
        <v>1325165</v>
      </c>
      <c r="E64" s="3"/>
      <c r="F64" s="3"/>
      <c r="G64" s="3"/>
      <c r="H64" s="3"/>
      <c r="I64" s="3"/>
      <c r="J64" s="3"/>
      <c r="K64" s="3"/>
      <c r="L64" s="3"/>
      <c r="M64" s="44" t="s">
        <v>104</v>
      </c>
      <c r="N64" s="36">
        <f>C64-D64</f>
        <v>-313142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48" t="s">
        <v>105</v>
      </c>
      <c r="B65" s="43">
        <f t="shared" ref="B65:D65" si="13">B26-B64</f>
        <v>3686.64384</v>
      </c>
      <c r="C65" s="43">
        <f t="shared" si="13"/>
        <v>360772</v>
      </c>
      <c r="D65" s="43">
        <f t="shared" si="13"/>
        <v>7266</v>
      </c>
      <c r="E65" s="3"/>
      <c r="F65" s="3"/>
      <c r="G65" s="3"/>
      <c r="H65" s="3"/>
      <c r="I65" s="3"/>
      <c r="J65" s="3"/>
      <c r="K65" s="3"/>
      <c r="L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20"/>
      <c r="B66" s="33"/>
      <c r="C66" s="33"/>
      <c r="D66" s="20"/>
      <c r="E66" s="3"/>
      <c r="F66" s="3"/>
      <c r="G66" s="3"/>
      <c r="H66" s="3"/>
      <c r="I66" s="3"/>
      <c r="J66" s="3"/>
      <c r="K66" s="3"/>
      <c r="L66" s="3"/>
      <c r="M66" s="5" t="s">
        <v>106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20"/>
      <c r="B67" s="33"/>
      <c r="C67" s="33"/>
      <c r="D67" s="20"/>
      <c r="E67" s="3"/>
      <c r="F67" s="3"/>
      <c r="G67" s="3"/>
      <c r="H67" s="3"/>
      <c r="I67" s="3"/>
      <c r="J67" s="3"/>
      <c r="K67" s="3"/>
      <c r="L67" s="3"/>
      <c r="M67" s="49"/>
      <c r="N67" s="50">
        <f>N19+N25+(N34*-1)+(N42*-1)+(N63*-1)</f>
        <v>353506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D68" s="51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23"/>
      <c r="B69" s="33"/>
      <c r="C69" s="33"/>
      <c r="D69" s="51"/>
      <c r="E69" s="3"/>
      <c r="F69" s="3"/>
      <c r="G69" s="3"/>
      <c r="H69" s="3"/>
      <c r="I69" s="3"/>
      <c r="J69" s="3"/>
      <c r="K69" s="3"/>
      <c r="L69" s="3"/>
      <c r="M69" s="52" t="s">
        <v>107</v>
      </c>
      <c r="N69" s="5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2"/>
      <c r="B70" s="33"/>
      <c r="C70" s="33"/>
      <c r="D70" s="23"/>
      <c r="E70" s="3"/>
      <c r="F70" s="3"/>
      <c r="G70" s="3"/>
      <c r="H70" s="3"/>
      <c r="I70" s="3"/>
      <c r="J70" s="3"/>
      <c r="K70" s="3"/>
      <c r="L70" s="3"/>
      <c r="M70" s="54"/>
      <c r="N70" s="55">
        <f>N19+N25</f>
        <v>40364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2"/>
      <c r="B71" s="33"/>
      <c r="C71" s="33"/>
      <c r="D71" s="56"/>
      <c r="E71" s="3"/>
      <c r="F71" s="3"/>
      <c r="G71" s="3"/>
      <c r="H71" s="3"/>
      <c r="I71" s="3"/>
      <c r="J71" s="3"/>
      <c r="K71" s="3"/>
      <c r="L71" s="3"/>
      <c r="M71" s="52" t="s">
        <v>108</v>
      </c>
      <c r="N71" s="57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2"/>
      <c r="B72" s="33"/>
      <c r="C72" s="33"/>
      <c r="D72" s="56"/>
      <c r="E72" s="3"/>
      <c r="F72" s="3"/>
      <c r="G72" s="3"/>
      <c r="H72" s="3"/>
      <c r="I72" s="3"/>
      <c r="J72" s="3"/>
      <c r="K72" s="3"/>
      <c r="L72" s="3"/>
      <c r="M72" s="54"/>
      <c r="N72" s="55">
        <f>N34+N42+N63</f>
        <v>-313142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58"/>
      <c r="B73" s="33"/>
      <c r="C73" s="33"/>
      <c r="D73" s="56"/>
      <c r="E73" s="3"/>
      <c r="F73" s="3"/>
      <c r="G73" s="3"/>
      <c r="H73" s="3"/>
      <c r="I73" s="3"/>
      <c r="J73" s="3"/>
      <c r="K73" s="3"/>
      <c r="L73" s="3"/>
      <c r="M73" s="5" t="s">
        <v>109</v>
      </c>
      <c r="N73" s="36">
        <f>(N72*(-1))+N70</f>
        <v>353506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58"/>
      <c r="B74" s="33"/>
      <c r="C74" s="33"/>
      <c r="D74" s="5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58"/>
      <c r="B75" s="33"/>
      <c r="C75" s="33"/>
      <c r="D75" s="5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58"/>
      <c r="B76" s="33"/>
      <c r="C76" s="33"/>
      <c r="D76" s="5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3"/>
      <c r="C77" s="3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3"/>
      <c r="C78" s="3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3"/>
      <c r="C79" s="3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3"/>
      <c r="C80" s="3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3"/>
      <c r="C81" s="3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3"/>
      <c r="C82" s="3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3"/>
      <c r="C83" s="3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3"/>
      <c r="C84" s="3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3"/>
      <c r="C85" s="3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3"/>
      <c r="C86" s="3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3"/>
      <c r="B1001" s="2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5.75" customHeight="1">
      <c r="A1002" s="3"/>
      <c r="B1002" s="2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printOptions/>
  <pageMargins bottom="1.0" footer="0.0" header="0.0" left="0.75" right="0.75" top="1.0"/>
  <pageSetup paperSize="9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57"/>
    <col customWidth="1" min="2" max="6" width="9.0"/>
  </cols>
  <sheetData>
    <row r="1" ht="15.75" customHeight="1"/>
    <row r="2" ht="15.75" customHeight="1">
      <c r="A2" s="59"/>
    </row>
    <row r="3" ht="15.75" customHeight="1">
      <c r="A3" s="60" t="s">
        <v>110</v>
      </c>
      <c r="B3" s="61" t="s">
        <v>111</v>
      </c>
      <c r="C3" s="61" t="s">
        <v>112</v>
      </c>
      <c r="D3" s="61" t="s">
        <v>113</v>
      </c>
      <c r="G3" s="22"/>
    </row>
    <row r="4" ht="15.75" customHeight="1">
      <c r="A4" s="60" t="s">
        <v>114</v>
      </c>
      <c r="B4" s="61">
        <v>420.0</v>
      </c>
      <c r="C4" s="62">
        <v>900.0</v>
      </c>
      <c r="D4" s="61">
        <f t="shared" ref="D4:D5" si="1">B4*C4</f>
        <v>378000</v>
      </c>
      <c r="G4" s="22"/>
      <c r="I4" s="60"/>
      <c r="J4" s="61"/>
      <c r="K4" s="61"/>
      <c r="L4" s="61"/>
    </row>
    <row r="5" ht="15.75" customHeight="1">
      <c r="A5" s="60" t="s">
        <v>115</v>
      </c>
      <c r="B5" s="61">
        <f>150</f>
        <v>150</v>
      </c>
      <c r="C5" s="62">
        <v>130.0</v>
      </c>
      <c r="D5" s="61">
        <f t="shared" si="1"/>
        <v>19500</v>
      </c>
      <c r="G5" s="22"/>
      <c r="I5" s="60"/>
      <c r="J5" s="61"/>
      <c r="K5" s="61"/>
      <c r="L5" s="61"/>
    </row>
    <row r="6" ht="15.75" customHeight="1">
      <c r="I6" s="60"/>
      <c r="J6" s="61"/>
      <c r="K6" s="61"/>
      <c r="L6" s="61"/>
    </row>
    <row r="7" ht="15.75" customHeight="1">
      <c r="A7" s="29" t="s">
        <v>116</v>
      </c>
      <c r="B7" s="29">
        <v>13.0</v>
      </c>
      <c r="C7" s="29">
        <f>C4+C5</f>
        <v>1030</v>
      </c>
      <c r="D7" s="29">
        <f>B7*C7</f>
        <v>13390</v>
      </c>
    </row>
    <row r="8" ht="15.75" customHeight="1">
      <c r="I8" s="22"/>
      <c r="J8" s="22"/>
      <c r="K8" s="22"/>
      <c r="L8" s="22"/>
    </row>
    <row r="9" ht="15.75" customHeight="1">
      <c r="A9" s="63" t="s">
        <v>117</v>
      </c>
      <c r="B9" s="64"/>
      <c r="C9" s="65">
        <f>SUM(C4:C5)</f>
        <v>1030</v>
      </c>
      <c r="D9" s="65">
        <f>SUM(D4:D5)-D7</f>
        <v>384110</v>
      </c>
    </row>
    <row r="10" ht="15.75" customHeight="1">
      <c r="I10" s="60"/>
      <c r="J10" s="22"/>
      <c r="K10" s="61"/>
      <c r="L10" s="61"/>
    </row>
    <row r="11" ht="15.75" customHeight="1"/>
    <row r="12" ht="15.75" customHeight="1"/>
    <row r="13" ht="15.75" customHeight="1">
      <c r="I13" s="60"/>
      <c r="J13" s="61"/>
      <c r="K13" s="61"/>
      <c r="L13" s="61"/>
    </row>
    <row r="14" ht="15.75" customHeight="1">
      <c r="I14" s="60"/>
      <c r="J14" s="61"/>
      <c r="K14" s="61"/>
      <c r="L14" s="61"/>
    </row>
    <row r="15" ht="15.75" customHeight="1">
      <c r="I15" s="60"/>
      <c r="J15" s="61"/>
      <c r="K15" s="61"/>
      <c r="L15" s="61"/>
    </row>
    <row r="16" ht="15.75" customHeight="1"/>
    <row r="17" ht="15.75" customHeight="1">
      <c r="I17" s="22"/>
      <c r="J17" s="22"/>
      <c r="K17" s="22"/>
      <c r="L17" s="22"/>
    </row>
    <row r="18" ht="15.75" customHeight="1"/>
    <row r="19" ht="15.75" customHeight="1">
      <c r="I19" s="60"/>
      <c r="J19" s="22"/>
      <c r="K19" s="61"/>
      <c r="L19" s="61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3" width="9.0"/>
    <col customWidth="1" min="4" max="4" width="28.14"/>
    <col customWidth="1" min="5" max="5" width="10.57"/>
    <col customWidth="1" min="6" max="6" width="11.29"/>
    <col customWidth="1" min="7" max="7" width="9.71"/>
    <col customWidth="1" min="8" max="8" width="14.29"/>
    <col customWidth="1" min="9" max="9" width="10.0"/>
  </cols>
  <sheetData>
    <row r="1" ht="15.75" customHeight="1">
      <c r="B1" s="62"/>
      <c r="I1" s="22"/>
      <c r="J1" s="22"/>
      <c r="K1" s="22"/>
      <c r="L1" s="22"/>
    </row>
    <row r="2" ht="15.75" customHeight="1">
      <c r="B2" s="66" t="s">
        <v>118</v>
      </c>
      <c r="H2" s="67"/>
      <c r="I2" s="29" t="s">
        <v>119</v>
      </c>
      <c r="J2" s="29"/>
      <c r="K2" s="29"/>
      <c r="L2" s="29"/>
    </row>
    <row r="3" ht="15.75" customHeight="1">
      <c r="B3" s="61" t="s">
        <v>120</v>
      </c>
      <c r="G3" s="61">
        <f>G15</f>
        <v>116710</v>
      </c>
      <c r="H3" s="68"/>
      <c r="I3" s="22" t="s">
        <v>121</v>
      </c>
    </row>
    <row r="4" ht="15.75" customHeight="1">
      <c r="B4" s="22" t="s">
        <v>122</v>
      </c>
      <c r="G4" s="22">
        <f>G20</f>
        <v>42042</v>
      </c>
      <c r="H4" s="69"/>
      <c r="I4" s="22" t="s">
        <v>123</v>
      </c>
    </row>
    <row r="5" ht="15.75" customHeight="1">
      <c r="B5" s="61" t="s">
        <v>124</v>
      </c>
      <c r="C5" s="70"/>
      <c r="E5" s="61"/>
      <c r="F5" s="61"/>
      <c r="G5" s="61">
        <v>50000.0</v>
      </c>
      <c r="H5" s="71"/>
      <c r="I5" s="68" t="s">
        <v>125</v>
      </c>
    </row>
    <row r="6" ht="15.75" customHeight="1">
      <c r="B6" s="61" t="s">
        <v>126</v>
      </c>
      <c r="G6" s="61">
        <v>67500.0</v>
      </c>
      <c r="H6" s="72"/>
      <c r="I6" s="22" t="s">
        <v>127</v>
      </c>
    </row>
    <row r="7" ht="15.75" customHeight="1">
      <c r="B7" s="73"/>
      <c r="I7" s="73"/>
    </row>
    <row r="8" ht="15.75" customHeight="1"/>
    <row r="9" ht="15.75" customHeight="1">
      <c r="B9" s="74" t="s">
        <v>128</v>
      </c>
      <c r="C9" s="74"/>
      <c r="D9" s="74"/>
      <c r="E9" s="74"/>
      <c r="F9" s="74"/>
      <c r="G9" s="74">
        <f>SUM(G3:G7)</f>
        <v>276252</v>
      </c>
    </row>
    <row r="10" ht="15.75" customHeight="1">
      <c r="B10" s="75"/>
      <c r="G10" s="22"/>
    </row>
    <row r="11" ht="15.75" customHeight="1"/>
    <row r="12" ht="15.75" customHeight="1">
      <c r="B12" s="76" t="s">
        <v>129</v>
      </c>
      <c r="C12" s="77"/>
      <c r="D12" s="77"/>
      <c r="E12" s="77" t="s">
        <v>130</v>
      </c>
      <c r="F12" s="78" t="s">
        <v>131</v>
      </c>
      <c r="G12" s="77" t="s">
        <v>132</v>
      </c>
      <c r="H12" s="73" t="s">
        <v>133</v>
      </c>
      <c r="I12" s="73"/>
    </row>
    <row r="13" ht="15.75" customHeight="1">
      <c r="C13" s="70" t="s">
        <v>134</v>
      </c>
      <c r="E13" s="79">
        <v>91.0</v>
      </c>
      <c r="F13" s="80">
        <v>950.0</v>
      </c>
      <c r="G13" s="61">
        <f t="shared" ref="G13:G14" si="1">F13*E13</f>
        <v>86450</v>
      </c>
      <c r="H13" s="81" t="s">
        <v>135</v>
      </c>
    </row>
    <row r="14" ht="15.75" customHeight="1">
      <c r="C14" s="82" t="s">
        <v>136</v>
      </c>
      <c r="D14" s="29"/>
      <c r="E14" s="83">
        <v>89.0</v>
      </c>
      <c r="F14" s="84">
        <v>340.0</v>
      </c>
      <c r="G14" s="85">
        <f t="shared" si="1"/>
        <v>30260</v>
      </c>
      <c r="H14" s="81" t="s">
        <v>137</v>
      </c>
    </row>
    <row r="15" ht="15.75" customHeight="1">
      <c r="C15" s="86"/>
      <c r="D15" s="86"/>
      <c r="E15" s="87"/>
      <c r="F15" s="86" t="s">
        <v>138</v>
      </c>
      <c r="G15" s="86">
        <f>SUM(G13:G14)</f>
        <v>116710</v>
      </c>
      <c r="J15" s="88"/>
      <c r="K15" s="89"/>
      <c r="L15" s="22"/>
      <c r="M15" s="22"/>
      <c r="N15" s="22"/>
      <c r="O15" s="22"/>
    </row>
    <row r="16" ht="15.75" customHeight="1">
      <c r="E16" s="90"/>
      <c r="L16" s="70"/>
      <c r="N16" s="61"/>
      <c r="O16" s="61"/>
    </row>
    <row r="17" ht="15.75" customHeight="1">
      <c r="E17" s="90"/>
      <c r="I17" s="22"/>
      <c r="J17" s="22"/>
      <c r="K17" s="22"/>
      <c r="L17" s="22"/>
      <c r="M17" s="22"/>
      <c r="N17" s="22"/>
    </row>
    <row r="18" ht="15.75" customHeight="1">
      <c r="E18" s="90"/>
      <c r="I18" s="22"/>
    </row>
    <row r="19" ht="15.75" customHeight="1">
      <c r="B19" s="76" t="s">
        <v>139</v>
      </c>
      <c r="C19" s="91"/>
      <c r="D19" s="77"/>
      <c r="E19" s="92"/>
      <c r="F19" s="77"/>
      <c r="G19" s="77" t="s">
        <v>132</v>
      </c>
    </row>
    <row r="20" ht="15.75" customHeight="1">
      <c r="C20" s="82" t="s">
        <v>140</v>
      </c>
      <c r="D20" s="29"/>
      <c r="E20" s="83">
        <v>231.0</v>
      </c>
      <c r="F20" s="84">
        <v>182.0</v>
      </c>
      <c r="G20" s="85">
        <f>F20*E20</f>
        <v>42042</v>
      </c>
      <c r="H20" s="93" t="s">
        <v>141</v>
      </c>
      <c r="J20" s="22"/>
    </row>
    <row r="21" ht="15.75" customHeight="1"/>
    <row r="22" ht="15.75" customHeight="1"/>
    <row r="23" ht="15.75" customHeight="1"/>
    <row r="24" ht="15.75" customHeight="1">
      <c r="I24" s="22"/>
    </row>
    <row r="25" ht="15.75" customHeight="1">
      <c r="B25" s="94" t="s">
        <v>142</v>
      </c>
      <c r="C25" s="29"/>
      <c r="D25" s="29"/>
      <c r="E25" s="29"/>
      <c r="F25" s="29"/>
      <c r="G25" s="29"/>
      <c r="I25" s="95" t="s">
        <v>143</v>
      </c>
    </row>
    <row r="26" ht="15.75" customHeight="1"/>
    <row r="27" ht="15.75" customHeight="1">
      <c r="C27" s="22" t="s">
        <v>144</v>
      </c>
    </row>
    <row r="28" ht="15.75" customHeight="1">
      <c r="B28" s="96" t="s">
        <v>132</v>
      </c>
      <c r="C28" s="96"/>
      <c r="D28" s="96"/>
      <c r="E28" s="96"/>
      <c r="F28" s="96"/>
      <c r="G28" s="96">
        <v>13000.0</v>
      </c>
    </row>
    <row r="29" ht="15.75" customHeight="1">
      <c r="C29" s="70"/>
      <c r="E29" s="22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29.57"/>
    <col customWidth="1" min="3" max="3" width="9.29"/>
    <col customWidth="1" min="4" max="5" width="10.0"/>
    <col customWidth="1" min="6" max="6" width="8.57"/>
    <col customWidth="1" min="7" max="7" width="12.86"/>
    <col customWidth="1" min="8" max="8" width="11.57"/>
    <col customWidth="1" min="9" max="9" width="23.0"/>
    <col customWidth="1" min="10" max="10" width="12.57"/>
    <col customWidth="1" min="11" max="11" width="24.29"/>
    <col customWidth="1" min="12" max="13" width="9.0"/>
    <col customWidth="1" min="14" max="14" width="2.29"/>
    <col customWidth="1" min="15" max="15" width="5.14"/>
    <col customWidth="1" min="16" max="16" width="23.43"/>
    <col customWidth="1" min="17" max="17" width="10.57"/>
    <col customWidth="1" min="18" max="18" width="2.86"/>
    <col customWidth="1" min="20" max="20" width="15.14"/>
    <col customWidth="1" min="21" max="21" width="4.14"/>
    <col customWidth="1" min="23" max="23" width="10.71"/>
  </cols>
  <sheetData>
    <row r="1" ht="15.75" customHeight="1">
      <c r="A1" s="97"/>
      <c r="B1" s="68" t="s">
        <v>145</v>
      </c>
      <c r="C1" s="97"/>
      <c r="D1" s="97"/>
      <c r="E1" s="97"/>
      <c r="F1" s="97"/>
      <c r="G1" s="98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ht="29.25" customHeight="1">
      <c r="A2" s="97"/>
      <c r="B2" s="99" t="s">
        <v>146</v>
      </c>
      <c r="C2" s="100" t="s">
        <v>147</v>
      </c>
      <c r="D2" s="100" t="s">
        <v>148</v>
      </c>
      <c r="E2" s="100" t="s">
        <v>149</v>
      </c>
      <c r="F2" s="100" t="s">
        <v>150</v>
      </c>
      <c r="G2" s="101" t="s">
        <v>151</v>
      </c>
      <c r="H2" s="100" t="s">
        <v>152</v>
      </c>
      <c r="I2" s="102" t="s">
        <v>153</v>
      </c>
      <c r="J2" s="101" t="s">
        <v>154</v>
      </c>
      <c r="K2" s="100" t="s">
        <v>155</v>
      </c>
      <c r="L2" s="97" t="s">
        <v>156</v>
      </c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ht="15.75" customHeight="1">
      <c r="A3" s="97"/>
      <c r="B3" s="103" t="s">
        <v>157</v>
      </c>
      <c r="C3" s="104">
        <v>34.0</v>
      </c>
      <c r="D3" s="104">
        <v>2.0</v>
      </c>
      <c r="E3" s="104">
        <v>1.0</v>
      </c>
      <c r="F3" s="105"/>
      <c r="G3" s="106">
        <f t="shared" ref="G3:G8" si="1">(D3*C3*E3*$C$21)+(F3*D3*C3*$C$20)</f>
        <v>15232</v>
      </c>
      <c r="H3" s="104">
        <v>5.0</v>
      </c>
      <c r="I3" s="104">
        <f t="shared" ref="I3:I9" si="2">C24*2</f>
        <v>5600</v>
      </c>
      <c r="J3" s="106">
        <f t="shared" ref="J3:J10" si="3">H3*I3</f>
        <v>28000</v>
      </c>
      <c r="K3" s="107">
        <f t="shared" ref="K3:K8" si="4">-G3+J3</f>
        <v>12768</v>
      </c>
      <c r="L3" s="107">
        <f t="shared" ref="L3:L5" si="5">I3/(D3*C3)</f>
        <v>82.35294118</v>
      </c>
      <c r="M3" s="97"/>
      <c r="N3" s="97"/>
      <c r="O3" s="97"/>
      <c r="P3" s="97"/>
      <c r="R3" s="97"/>
      <c r="S3" s="97"/>
      <c r="T3" s="97"/>
      <c r="U3" s="97"/>
      <c r="V3" s="97"/>
      <c r="W3" s="97"/>
      <c r="X3" s="97"/>
      <c r="Y3" s="97"/>
      <c r="Z3" s="97"/>
    </row>
    <row r="4" ht="15.75" customHeight="1">
      <c r="A4" s="97"/>
      <c r="B4" s="103" t="s">
        <v>158</v>
      </c>
      <c r="C4" s="104">
        <v>34.0</v>
      </c>
      <c r="D4" s="108">
        <v>1.5</v>
      </c>
      <c r="E4" s="109">
        <v>4.0</v>
      </c>
      <c r="F4" s="104"/>
      <c r="G4" s="106">
        <f t="shared" si="1"/>
        <v>45696</v>
      </c>
      <c r="H4" s="109">
        <v>26.0</v>
      </c>
      <c r="I4" s="104">
        <f t="shared" si="2"/>
        <v>4600</v>
      </c>
      <c r="J4" s="106">
        <f t="shared" si="3"/>
        <v>119600</v>
      </c>
      <c r="K4" s="107">
        <f t="shared" si="4"/>
        <v>73904</v>
      </c>
      <c r="L4" s="107">
        <f t="shared" si="5"/>
        <v>90.19607843</v>
      </c>
      <c r="M4" s="97"/>
      <c r="N4" s="97"/>
      <c r="O4" s="97"/>
      <c r="P4" s="97"/>
      <c r="R4" s="97"/>
      <c r="S4" s="97"/>
      <c r="T4" s="97"/>
      <c r="U4" s="97"/>
      <c r="V4" s="97"/>
      <c r="W4" s="97"/>
      <c r="X4" s="97"/>
      <c r="Y4" s="97"/>
      <c r="Z4" s="97"/>
    </row>
    <row r="5" ht="15.75" customHeight="1">
      <c r="A5" s="97"/>
      <c r="B5" s="110" t="s">
        <v>159</v>
      </c>
      <c r="C5" s="104">
        <v>34.0</v>
      </c>
      <c r="D5" s="111">
        <v>1.25</v>
      </c>
      <c r="E5" s="109">
        <v>4.0</v>
      </c>
      <c r="F5" s="105"/>
      <c r="G5" s="112">
        <f t="shared" si="1"/>
        <v>38080</v>
      </c>
      <c r="H5" s="109">
        <v>24.0</v>
      </c>
      <c r="I5" s="104">
        <f t="shared" si="2"/>
        <v>3600</v>
      </c>
      <c r="J5" s="106">
        <f t="shared" si="3"/>
        <v>86400</v>
      </c>
      <c r="K5" s="107">
        <f t="shared" si="4"/>
        <v>48320</v>
      </c>
      <c r="L5" s="107">
        <f t="shared" si="5"/>
        <v>84.70588235</v>
      </c>
      <c r="M5" s="97"/>
      <c r="N5" s="97"/>
      <c r="O5" s="97"/>
      <c r="P5" s="113" t="s">
        <v>160</v>
      </c>
      <c r="Q5" s="114"/>
      <c r="R5" s="114"/>
      <c r="S5" s="115"/>
      <c r="T5" s="114"/>
      <c r="U5" s="114"/>
      <c r="V5" s="114"/>
      <c r="W5" s="116"/>
      <c r="X5" s="97"/>
      <c r="Y5" s="97"/>
      <c r="Z5" s="97"/>
    </row>
    <row r="6" ht="15.75" customHeight="1">
      <c r="A6" s="97"/>
      <c r="B6" s="117" t="s">
        <v>161</v>
      </c>
      <c r="C6" s="105">
        <v>36.0</v>
      </c>
      <c r="D6" s="105">
        <v>2.0</v>
      </c>
      <c r="E6" s="118">
        <v>3.0</v>
      </c>
      <c r="F6" s="119">
        <v>1.0</v>
      </c>
      <c r="G6" s="106">
        <f t="shared" si="1"/>
        <v>66124.8</v>
      </c>
      <c r="H6" s="109">
        <v>8.0</v>
      </c>
      <c r="I6" s="104">
        <f t="shared" si="2"/>
        <v>7400</v>
      </c>
      <c r="J6" s="106">
        <f t="shared" si="3"/>
        <v>59200</v>
      </c>
      <c r="K6" s="107">
        <f t="shared" si="4"/>
        <v>-6924.8</v>
      </c>
      <c r="L6" s="107">
        <f>I6/(4*C6)</f>
        <v>51.38888889</v>
      </c>
      <c r="M6" s="97"/>
      <c r="N6" s="97"/>
      <c r="O6" s="97"/>
      <c r="P6" s="120" t="s">
        <v>162</v>
      </c>
      <c r="Q6" s="121"/>
      <c r="R6" s="121"/>
      <c r="T6" s="121"/>
      <c r="U6" s="121"/>
      <c r="V6" s="121"/>
      <c r="W6" s="122"/>
      <c r="X6" s="97"/>
      <c r="Y6" s="97"/>
      <c r="Z6" s="97"/>
    </row>
    <row r="7" ht="15.75" customHeight="1">
      <c r="A7" s="97"/>
      <c r="B7" s="110" t="s">
        <v>163</v>
      </c>
      <c r="C7" s="105">
        <v>34.0</v>
      </c>
      <c r="D7" s="123">
        <v>1.25</v>
      </c>
      <c r="E7" s="119">
        <v>2.0</v>
      </c>
      <c r="F7" s="105"/>
      <c r="G7" s="112">
        <f t="shared" si="1"/>
        <v>19040</v>
      </c>
      <c r="H7" s="109">
        <v>14.0</v>
      </c>
      <c r="I7" s="104">
        <f t="shared" si="2"/>
        <v>3600</v>
      </c>
      <c r="J7" s="106">
        <f t="shared" si="3"/>
        <v>50400</v>
      </c>
      <c r="K7" s="107">
        <f t="shared" si="4"/>
        <v>31360</v>
      </c>
      <c r="L7" s="107">
        <f t="shared" ref="L7:L8" si="6">I7/(D7*C7)</f>
        <v>84.70588235</v>
      </c>
      <c r="M7" s="97"/>
      <c r="N7" s="97"/>
      <c r="O7" s="97"/>
      <c r="P7" s="124"/>
      <c r="Q7" s="121"/>
      <c r="R7" s="121"/>
      <c r="T7" s="121"/>
      <c r="U7" s="121"/>
      <c r="V7" s="121"/>
      <c r="W7" s="125"/>
      <c r="X7" s="121"/>
      <c r="Y7" s="97"/>
      <c r="Z7" s="97"/>
    </row>
    <row r="8" ht="15.75" customHeight="1">
      <c r="A8" s="97"/>
      <c r="B8" s="103" t="s">
        <v>164</v>
      </c>
      <c r="C8" s="105">
        <v>34.0</v>
      </c>
      <c r="D8" s="126">
        <v>1.5</v>
      </c>
      <c r="E8" s="105">
        <v>1.0</v>
      </c>
      <c r="F8" s="105"/>
      <c r="G8" s="106">
        <f t="shared" si="1"/>
        <v>11424</v>
      </c>
      <c r="H8" s="109">
        <v>8.0</v>
      </c>
      <c r="I8" s="104">
        <f t="shared" si="2"/>
        <v>2400</v>
      </c>
      <c r="J8" s="106">
        <f t="shared" si="3"/>
        <v>19200</v>
      </c>
      <c r="K8" s="107">
        <f t="shared" si="4"/>
        <v>7776</v>
      </c>
      <c r="L8" s="107">
        <f t="shared" si="6"/>
        <v>47.05882353</v>
      </c>
      <c r="M8" s="97"/>
      <c r="N8" s="97"/>
      <c r="O8" s="97"/>
      <c r="P8" s="113" t="s">
        <v>165</v>
      </c>
      <c r="Q8" s="127"/>
      <c r="R8" s="121"/>
      <c r="S8" s="113" t="s">
        <v>166</v>
      </c>
      <c r="T8" s="127"/>
      <c r="U8" s="121"/>
      <c r="V8" s="128" t="s">
        <v>167</v>
      </c>
      <c r="W8" s="127"/>
      <c r="X8" s="121"/>
      <c r="Y8" s="97"/>
      <c r="Z8" s="97"/>
    </row>
    <row r="9" ht="15.75" customHeight="1">
      <c r="A9" s="97"/>
      <c r="B9" s="129" t="s">
        <v>168</v>
      </c>
      <c r="C9" s="130"/>
      <c r="D9" s="130"/>
      <c r="E9" s="130"/>
      <c r="F9" s="130"/>
      <c r="G9" s="130"/>
      <c r="H9" s="131">
        <v>2.0</v>
      </c>
      <c r="I9" s="132">
        <f t="shared" si="2"/>
        <v>8000</v>
      </c>
      <c r="J9" s="133">
        <f t="shared" si="3"/>
        <v>16000</v>
      </c>
      <c r="K9" s="134">
        <v>3700.0</v>
      </c>
      <c r="L9" s="107">
        <f>I9/(C4*3.5)</f>
        <v>67.22689076</v>
      </c>
      <c r="M9" s="97"/>
      <c r="N9" s="97"/>
      <c r="O9" s="97"/>
      <c r="P9" s="124"/>
      <c r="Q9" s="125"/>
      <c r="R9" s="121"/>
      <c r="S9" s="124"/>
      <c r="T9" s="125"/>
      <c r="U9" s="121"/>
      <c r="V9" s="124"/>
      <c r="W9" s="122"/>
      <c r="X9" s="97"/>
      <c r="Y9" s="97"/>
      <c r="Z9" s="97"/>
    </row>
    <row r="10" ht="15.75" customHeight="1">
      <c r="A10" s="97"/>
      <c r="B10" s="135" t="s">
        <v>169</v>
      </c>
      <c r="C10" s="136">
        <v>34.0</v>
      </c>
      <c r="D10" s="136">
        <v>2.0</v>
      </c>
      <c r="E10" s="137">
        <v>0.0</v>
      </c>
      <c r="F10" s="137">
        <v>0.0</v>
      </c>
      <c r="G10" s="138">
        <v>0.0</v>
      </c>
      <c r="H10" s="136">
        <v>15.0</v>
      </c>
      <c r="I10" s="136">
        <f>C31*H10</f>
        <v>0</v>
      </c>
      <c r="J10" s="139">
        <f t="shared" si="3"/>
        <v>0</v>
      </c>
      <c r="K10" s="140">
        <f>-G10+J10</f>
        <v>0</v>
      </c>
      <c r="L10" s="140"/>
      <c r="M10" s="97"/>
      <c r="N10" s="97"/>
      <c r="O10" s="97"/>
      <c r="P10" s="124" t="s">
        <v>170</v>
      </c>
      <c r="Q10" s="141">
        <v>7.0</v>
      </c>
      <c r="R10" s="121"/>
      <c r="S10" s="124" t="s">
        <v>170</v>
      </c>
      <c r="T10" s="125">
        <v>2.0</v>
      </c>
      <c r="U10" s="121"/>
      <c r="V10" s="120" t="s">
        <v>171</v>
      </c>
      <c r="W10" s="122"/>
      <c r="X10" s="97"/>
      <c r="Y10" s="97"/>
      <c r="Z10" s="97"/>
    </row>
    <row r="11" ht="15.75" customHeight="1">
      <c r="A11" s="97"/>
      <c r="B11" s="142" t="s">
        <v>172</v>
      </c>
      <c r="C11" s="97"/>
      <c r="D11" s="97"/>
      <c r="E11" s="97"/>
      <c r="F11" s="97">
        <v>6.0</v>
      </c>
      <c r="G11" s="143">
        <f>F11*C21</f>
        <v>1344</v>
      </c>
      <c r="H11" s="97"/>
      <c r="I11" s="97"/>
      <c r="J11" s="97"/>
      <c r="K11" s="97"/>
      <c r="L11" s="144"/>
      <c r="M11" s="97"/>
      <c r="N11" s="97"/>
      <c r="O11" s="97"/>
      <c r="P11" s="124" t="s">
        <v>173</v>
      </c>
      <c r="Q11" s="125">
        <v>1000.0</v>
      </c>
      <c r="R11" s="121"/>
      <c r="S11" s="124" t="s">
        <v>173</v>
      </c>
      <c r="T11" s="141">
        <v>1500.0</v>
      </c>
      <c r="U11" s="121"/>
      <c r="V11" s="124"/>
      <c r="W11" s="122"/>
      <c r="X11" s="97"/>
      <c r="Y11" s="97"/>
      <c r="Z11" s="97"/>
    </row>
    <row r="12" ht="15.75" customHeight="1">
      <c r="A12" s="97"/>
      <c r="B12" s="145" t="s">
        <v>174</v>
      </c>
      <c r="C12" s="73">
        <v>4.0</v>
      </c>
      <c r="D12" s="22">
        <v>8.0</v>
      </c>
      <c r="E12" s="68">
        <v>1.0</v>
      </c>
      <c r="F12" s="68"/>
      <c r="G12" s="112">
        <f t="shared" ref="G12:G13" si="7">(D12*C12*E12*$C$21)+(F12*D12*C12*$C$20)</f>
        <v>7168</v>
      </c>
      <c r="M12" s="97"/>
      <c r="N12" s="97"/>
      <c r="O12" s="97"/>
      <c r="P12" s="124" t="s">
        <v>175</v>
      </c>
      <c r="Q12" s="125">
        <v>6.0</v>
      </c>
      <c r="R12" s="121"/>
      <c r="S12" s="124" t="s">
        <v>175</v>
      </c>
      <c r="T12" s="125">
        <v>2.0</v>
      </c>
      <c r="U12" s="121"/>
      <c r="V12" s="124"/>
      <c r="W12" s="122"/>
      <c r="X12" s="97"/>
      <c r="Y12" s="97"/>
      <c r="Z12" s="97"/>
    </row>
    <row r="13" ht="15.75" customHeight="1">
      <c r="A13" s="97"/>
      <c r="B13" s="103" t="s">
        <v>176</v>
      </c>
      <c r="C13" s="108">
        <v>2.0</v>
      </c>
      <c r="D13" s="108">
        <v>2.0</v>
      </c>
      <c r="E13" s="108">
        <v>10.0</v>
      </c>
      <c r="F13" s="146"/>
      <c r="G13" s="143">
        <f t="shared" si="7"/>
        <v>8960</v>
      </c>
      <c r="H13" s="108"/>
      <c r="I13" s="108"/>
      <c r="J13" s="143"/>
      <c r="K13" s="97"/>
      <c r="L13" s="144"/>
      <c r="M13" s="97"/>
      <c r="N13" s="97"/>
      <c r="O13" s="97"/>
      <c r="P13" s="147" t="s">
        <v>177</v>
      </c>
      <c r="Q13" s="148">
        <f>Q10*Q11*Q12</f>
        <v>42000</v>
      </c>
      <c r="R13" s="121"/>
      <c r="S13" s="147" t="s">
        <v>177</v>
      </c>
      <c r="T13" s="148">
        <f>T10*T11*T12</f>
        <v>6000</v>
      </c>
      <c r="U13" s="121"/>
      <c r="V13" s="147" t="s">
        <v>177</v>
      </c>
      <c r="W13" s="149">
        <v>5000.0</v>
      </c>
      <c r="X13" s="97"/>
      <c r="Y13" s="97"/>
      <c r="Z13" s="97"/>
    </row>
    <row r="14" ht="15.75" customHeight="1">
      <c r="A14" s="97"/>
      <c r="B14" s="150" t="s">
        <v>178</v>
      </c>
      <c r="C14" s="151"/>
      <c r="D14" s="151"/>
      <c r="E14" s="151"/>
      <c r="F14" s="151"/>
      <c r="G14" s="152">
        <v>26000.0</v>
      </c>
      <c r="H14" s="151"/>
      <c r="I14" s="153"/>
      <c r="J14" s="151"/>
      <c r="K14" s="151"/>
      <c r="L14" s="151"/>
      <c r="M14" s="97"/>
      <c r="N14" s="97"/>
      <c r="O14" s="97"/>
      <c r="P14" s="124"/>
      <c r="Q14" s="121"/>
      <c r="R14" s="121"/>
      <c r="T14" s="121"/>
      <c r="U14" s="121"/>
      <c r="V14" s="121"/>
      <c r="W14" s="122"/>
      <c r="X14" s="97"/>
      <c r="Y14" s="97"/>
      <c r="Z14" s="97"/>
    </row>
    <row r="15" ht="15.75" customHeight="1">
      <c r="A15" s="97"/>
      <c r="B15" s="154" t="s">
        <v>179</v>
      </c>
      <c r="C15" s="155"/>
      <c r="D15" s="155"/>
      <c r="E15" s="155"/>
      <c r="F15" s="155"/>
      <c r="G15" s="156">
        <f>SUM(G3:G14)</f>
        <v>239068.8</v>
      </c>
      <c r="H15" s="157">
        <f>SUM(H3:H10)</f>
        <v>102</v>
      </c>
      <c r="I15" s="155"/>
      <c r="J15" s="158">
        <f>SUM(J3:J10)</f>
        <v>378800</v>
      </c>
      <c r="K15" s="159">
        <f>J15-G15</f>
        <v>139731.2</v>
      </c>
      <c r="L15" s="160"/>
      <c r="M15" s="97"/>
      <c r="N15" s="97"/>
      <c r="O15" s="97"/>
      <c r="P15" s="113" t="s">
        <v>180</v>
      </c>
      <c r="Q15" s="127"/>
      <c r="R15" s="121"/>
      <c r="S15" s="161" t="s">
        <v>181</v>
      </c>
      <c r="T15" s="162"/>
      <c r="U15" s="121"/>
      <c r="V15" s="163" t="s">
        <v>182</v>
      </c>
      <c r="W15" s="164"/>
      <c r="X15" s="97"/>
      <c r="Y15" s="97"/>
      <c r="Z15" s="97"/>
    </row>
    <row r="16" ht="21.0" customHeight="1">
      <c r="A16" s="97"/>
      <c r="B16" s="73" t="s">
        <v>183</v>
      </c>
      <c r="C16" s="165"/>
      <c r="D16" s="165"/>
      <c r="E16" s="165"/>
      <c r="F16" s="108"/>
      <c r="G16" s="143"/>
      <c r="I16" s="108"/>
      <c r="K16" s="97"/>
      <c r="L16" s="97"/>
      <c r="M16" s="97"/>
      <c r="N16" s="97"/>
      <c r="O16" s="97"/>
      <c r="P16" s="124" t="s">
        <v>184</v>
      </c>
      <c r="Q16" s="125">
        <v>130.0</v>
      </c>
      <c r="R16" s="121"/>
      <c r="S16" s="166" t="s">
        <v>170</v>
      </c>
      <c r="T16" s="167">
        <v>6.0</v>
      </c>
      <c r="U16" s="121"/>
      <c r="V16" s="168" t="s">
        <v>185</v>
      </c>
      <c r="W16" s="169">
        <v>2.0</v>
      </c>
      <c r="X16" s="97"/>
      <c r="Y16" s="97"/>
      <c r="Z16" s="97"/>
    </row>
    <row r="17" ht="23.25" customHeight="1">
      <c r="A17" s="97"/>
      <c r="L17" s="97"/>
      <c r="M17" s="97"/>
      <c r="N17" s="97"/>
      <c r="O17" s="97"/>
      <c r="P17" s="124" t="s">
        <v>152</v>
      </c>
      <c r="Q17" s="125">
        <v>8.0</v>
      </c>
      <c r="R17" s="121"/>
      <c r="S17" s="166" t="s">
        <v>173</v>
      </c>
      <c r="T17" s="167">
        <v>400.0</v>
      </c>
      <c r="U17" s="121"/>
      <c r="V17" s="168" t="s">
        <v>186</v>
      </c>
      <c r="W17" s="169">
        <v>1000.0</v>
      </c>
      <c r="X17" s="97"/>
      <c r="Y17" s="97"/>
      <c r="Z17" s="97"/>
    </row>
    <row r="18" ht="15.75" customHeight="1">
      <c r="A18" s="97"/>
      <c r="B18" s="170" t="s">
        <v>187</v>
      </c>
      <c r="C18" s="171"/>
      <c r="D18" s="172"/>
      <c r="E18" s="103"/>
      <c r="F18" s="103"/>
      <c r="G18" s="173"/>
      <c r="I18" s="174" t="s">
        <v>188</v>
      </c>
      <c r="L18" s="97"/>
      <c r="M18" s="97"/>
      <c r="N18" s="97"/>
      <c r="O18" s="97"/>
      <c r="P18" s="124" t="s">
        <v>189</v>
      </c>
      <c r="Q18" s="125">
        <v>6.0</v>
      </c>
      <c r="R18" s="121"/>
      <c r="S18" s="166" t="s">
        <v>175</v>
      </c>
      <c r="T18" s="175">
        <v>6.0</v>
      </c>
      <c r="U18" s="121"/>
      <c r="V18" s="166"/>
      <c r="W18" s="176"/>
      <c r="X18" s="97"/>
      <c r="Y18" s="97"/>
      <c r="Z18" s="97"/>
    </row>
    <row r="19" ht="15.0" customHeight="1">
      <c r="A19" s="97"/>
      <c r="B19" s="177" t="s">
        <v>190</v>
      </c>
      <c r="C19" s="178" t="s">
        <v>191</v>
      </c>
      <c r="D19" s="179"/>
      <c r="E19" s="103"/>
      <c r="F19" s="103"/>
      <c r="G19" s="173"/>
      <c r="H19" s="180"/>
      <c r="I19" s="110" t="s">
        <v>192</v>
      </c>
      <c r="J19" s="108">
        <f>J15*0.016*(-1)</f>
        <v>-6060.8</v>
      </c>
      <c r="K19" s="181"/>
      <c r="L19" s="97"/>
      <c r="M19" s="97"/>
      <c r="N19" s="97"/>
      <c r="O19" s="97"/>
      <c r="P19" s="124" t="s">
        <v>193</v>
      </c>
      <c r="Q19" s="125">
        <v>4500.0</v>
      </c>
      <c r="R19" s="121"/>
      <c r="S19" s="147" t="s">
        <v>177</v>
      </c>
      <c r="T19" s="182">
        <f>T16*T17*T18</f>
        <v>14400</v>
      </c>
      <c r="U19" s="121"/>
      <c r="V19" s="183" t="s">
        <v>177</v>
      </c>
      <c r="W19" s="184">
        <v>2000.0</v>
      </c>
      <c r="X19" s="97"/>
      <c r="Y19" s="97"/>
      <c r="Z19" s="97"/>
    </row>
    <row r="20" ht="23.25" customHeight="1">
      <c r="A20" s="97"/>
      <c r="B20" s="185" t="s">
        <v>194</v>
      </c>
      <c r="C20" s="108">
        <f>220*(1+feriepengesats)</f>
        <v>246.4</v>
      </c>
      <c r="D20" s="186">
        <v>220.0</v>
      </c>
      <c r="E20" s="22" t="s">
        <v>195</v>
      </c>
      <c r="F20" s="117">
        <f>220/246.4</f>
        <v>0.8928571429</v>
      </c>
      <c r="G20" s="173">
        <f>(G15)*F20</f>
        <v>213454.2857</v>
      </c>
      <c r="H20" s="187"/>
      <c r="I20" s="103" t="s">
        <v>196</v>
      </c>
      <c r="J20" s="117">
        <f>Q21</f>
        <v>-80140</v>
      </c>
      <c r="K20" s="103"/>
      <c r="L20" s="188"/>
      <c r="M20" s="97"/>
      <c r="N20" s="97"/>
      <c r="O20" s="97"/>
      <c r="P20" s="147" t="s">
        <v>177</v>
      </c>
      <c r="Q20" s="148">
        <f>(Q16*Q17*Q18)+Q19</f>
        <v>10740</v>
      </c>
      <c r="R20" s="121"/>
      <c r="T20" s="121"/>
      <c r="U20" s="121"/>
      <c r="W20" s="189"/>
      <c r="X20" s="97"/>
      <c r="Y20" s="97"/>
      <c r="Z20" s="97"/>
    </row>
    <row r="21" ht="27.75" customHeight="1">
      <c r="A21" s="97"/>
      <c r="B21" s="185" t="s">
        <v>197</v>
      </c>
      <c r="C21" s="108">
        <f>200*(1+feriepengesats)</f>
        <v>224</v>
      </c>
      <c r="D21" s="186">
        <v>200.0</v>
      </c>
      <c r="E21" s="117" t="s">
        <v>198</v>
      </c>
      <c r="F21" s="117"/>
      <c r="G21" s="173">
        <f>(G15)*(1-F20)</f>
        <v>25614.51429</v>
      </c>
      <c r="H21" s="190"/>
      <c r="I21" s="117" t="s">
        <v>199</v>
      </c>
      <c r="J21" s="191">
        <v>-40000.0</v>
      </c>
      <c r="K21" s="192" t="s">
        <v>200</v>
      </c>
      <c r="M21" s="97"/>
      <c r="N21" s="97"/>
      <c r="O21" s="97"/>
      <c r="P21" s="193" t="s">
        <v>201</v>
      </c>
      <c r="Q21" s="194">
        <f>(Q13+Q20+T13+T19+W13+W19)*-1</f>
        <v>-80140</v>
      </c>
      <c r="R21" s="195"/>
      <c r="S21" s="29"/>
      <c r="T21" s="195"/>
      <c r="U21" s="195"/>
      <c r="V21" s="195"/>
      <c r="W21" s="196"/>
      <c r="X21" s="97"/>
      <c r="Y21" s="97"/>
      <c r="Z21" s="97"/>
    </row>
    <row r="22" ht="15.75" customHeight="1">
      <c r="A22" s="97"/>
      <c r="B22" s="185"/>
      <c r="C22" s="103"/>
      <c r="D22" s="179"/>
      <c r="E22" s="117" t="s">
        <v>202</v>
      </c>
      <c r="F22" s="117"/>
      <c r="G22" s="197">
        <f>G20+G21-G15</f>
        <v>0</v>
      </c>
      <c r="H22" s="198"/>
      <c r="I22" s="117" t="s">
        <v>203</v>
      </c>
      <c r="J22" s="146">
        <v>-8000.0</v>
      </c>
      <c r="K22" s="97" t="s">
        <v>204</v>
      </c>
      <c r="M22" s="97"/>
      <c r="N22" s="97"/>
      <c r="O22" s="97"/>
      <c r="R22" s="121"/>
      <c r="S22" s="121"/>
      <c r="T22" s="121"/>
      <c r="U22" s="121"/>
      <c r="V22" s="121"/>
      <c r="W22" s="97"/>
      <c r="X22" s="97"/>
      <c r="Y22" s="97"/>
      <c r="Z22" s="97"/>
    </row>
    <row r="23" ht="19.5" customHeight="1">
      <c r="A23" s="97"/>
      <c r="B23" s="199" t="s">
        <v>205</v>
      </c>
      <c r="C23" s="200"/>
      <c r="D23" s="201"/>
      <c r="E23" s="103"/>
      <c r="F23" s="103"/>
      <c r="G23" s="202"/>
      <c r="H23" s="203"/>
      <c r="I23" s="204" t="s">
        <v>206</v>
      </c>
      <c r="J23" s="146">
        <v>-2000.0</v>
      </c>
      <c r="K23" s="22" t="s">
        <v>207</v>
      </c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97"/>
      <c r="X23" s="97"/>
      <c r="Y23" s="97"/>
      <c r="Z23" s="97"/>
    </row>
    <row r="24" ht="15.75" customHeight="1">
      <c r="A24" s="97"/>
      <c r="B24" s="205" t="s">
        <v>208</v>
      </c>
      <c r="C24" s="97">
        <v>2800.0</v>
      </c>
      <c r="D24" s="206"/>
      <c r="E24" s="103"/>
      <c r="F24" s="103"/>
      <c r="G24" s="202"/>
      <c r="H24" s="207"/>
      <c r="I24" s="103" t="s">
        <v>209</v>
      </c>
      <c r="J24" s="108">
        <v>-8000.0</v>
      </c>
      <c r="K24" s="97" t="s">
        <v>210</v>
      </c>
      <c r="L24" s="97"/>
      <c r="M24" s="97"/>
      <c r="N24" s="97"/>
      <c r="O24" s="97"/>
      <c r="P24" s="97"/>
      <c r="Q24" s="97"/>
      <c r="R24" s="97"/>
      <c r="S24" s="121"/>
      <c r="T24" s="97"/>
      <c r="U24" s="97"/>
      <c r="V24" s="97"/>
      <c r="W24" s="97"/>
      <c r="X24" s="97"/>
      <c r="Y24" s="97"/>
      <c r="Z24" s="97"/>
    </row>
    <row r="25" ht="22.5" customHeight="1">
      <c r="A25" s="97"/>
      <c r="B25" s="205" t="s">
        <v>158</v>
      </c>
      <c r="C25" s="97">
        <v>2300.0</v>
      </c>
      <c r="D25" s="206"/>
      <c r="E25" s="103"/>
      <c r="F25" s="103"/>
      <c r="G25" s="202"/>
      <c r="H25" s="198"/>
      <c r="I25" s="103" t="s">
        <v>211</v>
      </c>
      <c r="J25" s="108">
        <v>-4000.0</v>
      </c>
      <c r="K25" s="208"/>
      <c r="L25" s="97"/>
      <c r="M25" s="97"/>
      <c r="N25" s="97"/>
      <c r="O25" s="97"/>
      <c r="P25" s="97"/>
      <c r="Q25" s="97"/>
      <c r="R25" s="97"/>
      <c r="S25" s="121"/>
      <c r="T25" s="97"/>
      <c r="U25" s="97"/>
      <c r="V25" s="97"/>
      <c r="W25" s="97"/>
      <c r="X25" s="97"/>
      <c r="Y25" s="97"/>
      <c r="Z25" s="97"/>
    </row>
    <row r="26" ht="15.75" customHeight="1">
      <c r="A26" s="97"/>
      <c r="B26" s="205" t="s">
        <v>212</v>
      </c>
      <c r="C26" s="97">
        <v>1800.0</v>
      </c>
      <c r="D26" s="209"/>
      <c r="E26" s="97"/>
      <c r="F26" s="97"/>
      <c r="G26" s="97"/>
      <c r="H26" s="210"/>
      <c r="I26" s="103" t="s">
        <v>213</v>
      </c>
      <c r="J26" s="108">
        <v>-4000.0</v>
      </c>
      <c r="K26" s="211"/>
      <c r="L26" s="97"/>
      <c r="M26" s="97"/>
      <c r="N26" s="97"/>
      <c r="O26" s="97"/>
      <c r="P26" s="97"/>
      <c r="Q26" s="97"/>
      <c r="R26" s="97"/>
      <c r="S26" s="121"/>
      <c r="T26" s="121"/>
      <c r="U26" s="97"/>
      <c r="V26" s="97"/>
      <c r="W26" s="97"/>
      <c r="X26" s="97"/>
      <c r="Y26" s="97"/>
      <c r="Z26" s="97"/>
    </row>
    <row r="27" ht="15.75" customHeight="1">
      <c r="A27" s="97"/>
      <c r="B27" s="205" t="s">
        <v>214</v>
      </c>
      <c r="C27" s="97">
        <v>3700.0</v>
      </c>
      <c r="D27" s="209"/>
      <c r="E27" s="97"/>
      <c r="F27" s="97"/>
      <c r="G27" s="97"/>
      <c r="H27" s="180"/>
      <c r="I27" s="212" t="s">
        <v>215</v>
      </c>
      <c r="J27" s="213">
        <f>SUM(J19:J26)+K15</f>
        <v>-12469.6</v>
      </c>
      <c r="K27" s="103"/>
      <c r="M27" s="97"/>
      <c r="N27" s="97"/>
      <c r="O27" s="97"/>
      <c r="P27" s="97"/>
      <c r="Q27" s="97"/>
      <c r="R27" s="97"/>
      <c r="S27" s="121"/>
      <c r="T27" s="97"/>
      <c r="U27" s="97"/>
      <c r="V27" s="97"/>
      <c r="W27" s="97"/>
      <c r="X27" s="97"/>
      <c r="Y27" s="97"/>
      <c r="Z27" s="97"/>
    </row>
    <row r="28" ht="15.75" customHeight="1">
      <c r="A28" s="97"/>
      <c r="B28" s="205" t="s">
        <v>216</v>
      </c>
      <c r="C28" s="97">
        <v>1800.0</v>
      </c>
      <c r="D28" s="209"/>
      <c r="E28" s="97"/>
      <c r="F28" s="121"/>
      <c r="G28" s="214"/>
      <c r="H28" s="103"/>
      <c r="M28" s="97"/>
      <c r="N28" s="97"/>
      <c r="O28" s="97"/>
      <c r="P28" s="97"/>
      <c r="Q28" s="97"/>
      <c r="R28" s="97"/>
      <c r="S28" s="121"/>
      <c r="T28" s="97"/>
      <c r="U28" s="97"/>
      <c r="V28" s="97"/>
      <c r="W28" s="97"/>
      <c r="X28" s="97"/>
      <c r="Y28" s="97"/>
      <c r="Z28" s="97"/>
    </row>
    <row r="29" ht="15.75" customHeight="1">
      <c r="A29" s="97"/>
      <c r="B29" s="205" t="s">
        <v>217</v>
      </c>
      <c r="C29" s="97">
        <v>1200.0</v>
      </c>
      <c r="D29" s="209"/>
      <c r="E29" s="97"/>
      <c r="F29" s="121"/>
      <c r="G29" s="215"/>
      <c r="H29" s="103"/>
      <c r="I29" s="88" t="s">
        <v>218</v>
      </c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</row>
    <row r="30" ht="15.75" customHeight="1">
      <c r="A30" s="97"/>
      <c r="B30" s="205" t="s">
        <v>219</v>
      </c>
      <c r="C30" s="97">
        <v>4000.0</v>
      </c>
      <c r="D30" s="209"/>
      <c r="E30" s="97"/>
      <c r="F30" s="121"/>
      <c r="G30" s="121"/>
      <c r="H30" s="103"/>
      <c r="I30" s="216" t="s">
        <v>220</v>
      </c>
      <c r="L30" s="97"/>
      <c r="R30" s="97"/>
      <c r="S30" s="97"/>
      <c r="T30" s="97"/>
      <c r="U30" s="97"/>
      <c r="V30" s="97"/>
      <c r="W30" s="97"/>
      <c r="X30" s="97"/>
      <c r="Y30" s="97"/>
      <c r="Z30" s="97"/>
    </row>
    <row r="31" ht="15.75" customHeight="1">
      <c r="A31" s="97"/>
      <c r="B31" s="217" t="s">
        <v>221</v>
      </c>
      <c r="C31" s="160">
        <v>0.0</v>
      </c>
      <c r="D31" s="218"/>
      <c r="E31" s="97"/>
      <c r="F31" s="121"/>
      <c r="G31" s="121"/>
      <c r="H31" s="97"/>
      <c r="J31" s="97"/>
      <c r="K31" s="97"/>
      <c r="L31" s="121"/>
      <c r="R31" s="97"/>
      <c r="S31" s="97"/>
      <c r="T31" s="97"/>
      <c r="U31" s="97"/>
      <c r="V31" s="97"/>
      <c r="W31" s="97"/>
      <c r="X31" s="97"/>
      <c r="Y31" s="97"/>
      <c r="Z31" s="97"/>
    </row>
    <row r="32" ht="15.75" customHeight="1">
      <c r="A32" s="97"/>
      <c r="H32" s="121"/>
      <c r="I32" s="219" t="s">
        <v>222</v>
      </c>
      <c r="J32" s="220"/>
      <c r="K32" s="221"/>
      <c r="L32" s="220"/>
      <c r="M32" s="222"/>
      <c r="N32" s="222"/>
      <c r="O32" s="222"/>
      <c r="P32" s="223"/>
      <c r="R32" s="97"/>
      <c r="S32" s="97"/>
      <c r="T32" s="97"/>
      <c r="U32" s="97"/>
      <c r="V32" s="97"/>
      <c r="W32" s="97"/>
      <c r="X32" s="97"/>
      <c r="Y32" s="97"/>
      <c r="Z32" s="97"/>
    </row>
    <row r="33" ht="15.75" customHeight="1">
      <c r="A33" s="97"/>
      <c r="I33" s="224" t="s">
        <v>223</v>
      </c>
      <c r="J33" s="121"/>
      <c r="K33" s="121"/>
      <c r="L33" s="121"/>
      <c r="P33" s="189"/>
      <c r="R33" s="97"/>
      <c r="S33" s="97"/>
      <c r="T33" s="97"/>
      <c r="U33" s="97"/>
      <c r="V33" s="97"/>
      <c r="W33" s="97"/>
      <c r="X33" s="97"/>
      <c r="Y33" s="97"/>
      <c r="Z33" s="97"/>
    </row>
    <row r="34" ht="15.75" customHeight="1">
      <c r="A34" s="97"/>
      <c r="I34" s="225" t="s">
        <v>224</v>
      </c>
      <c r="K34" s="22"/>
      <c r="L34" s="121"/>
      <c r="P34" s="226">
        <f>J6</f>
        <v>59200</v>
      </c>
      <c r="R34" s="97"/>
      <c r="S34" s="97"/>
      <c r="T34" s="97"/>
      <c r="U34" s="97"/>
      <c r="V34" s="97"/>
      <c r="W34" s="97"/>
      <c r="X34" s="97"/>
      <c r="Y34" s="97"/>
      <c r="Z34" s="97"/>
    </row>
    <row r="35" ht="15.75" customHeight="1">
      <c r="A35" s="97"/>
      <c r="B35" s="97"/>
      <c r="C35" s="97"/>
      <c r="D35" s="97"/>
      <c r="E35" s="97"/>
      <c r="F35" s="121"/>
      <c r="G35" s="22"/>
      <c r="I35" s="227"/>
      <c r="J35" s="121"/>
      <c r="K35" s="228"/>
      <c r="L35" s="121"/>
      <c r="P35" s="189"/>
      <c r="R35" s="97"/>
      <c r="S35" s="97"/>
      <c r="T35" s="97"/>
      <c r="U35" s="97"/>
      <c r="V35" s="97"/>
      <c r="W35" s="97"/>
      <c r="X35" s="97"/>
      <c r="Y35" s="97"/>
      <c r="Z35" s="97"/>
    </row>
    <row r="36" ht="15.75" customHeight="1">
      <c r="A36" s="97"/>
      <c r="B36" s="97"/>
      <c r="C36" s="97"/>
      <c r="D36" s="97"/>
      <c r="E36" s="97"/>
      <c r="F36" s="121"/>
      <c r="G36" s="121"/>
      <c r="H36" s="121"/>
      <c r="I36" s="227"/>
      <c r="K36" s="22"/>
      <c r="L36" s="121"/>
      <c r="P36" s="189"/>
      <c r="S36" s="97"/>
      <c r="T36" s="97"/>
      <c r="U36" s="97"/>
      <c r="V36" s="97"/>
      <c r="W36" s="97"/>
      <c r="X36" s="97"/>
      <c r="Y36" s="97"/>
      <c r="Z36" s="97"/>
    </row>
    <row r="37" ht="15.75" customHeight="1">
      <c r="A37" s="97"/>
      <c r="B37" s="97"/>
      <c r="C37" s="97"/>
      <c r="D37" s="97"/>
      <c r="E37" s="97"/>
      <c r="F37" s="121"/>
      <c r="G37" s="22"/>
      <c r="I37" s="229" t="s">
        <v>225</v>
      </c>
      <c r="J37" s="195"/>
      <c r="K37" s="195"/>
      <c r="L37" s="195"/>
      <c r="M37" s="29"/>
      <c r="N37" s="29"/>
      <c r="O37" s="29"/>
      <c r="P37" s="230">
        <f>SUM(P34:P36)</f>
        <v>59200</v>
      </c>
      <c r="R37" s="97"/>
      <c r="S37" s="97"/>
      <c r="T37" s="97"/>
      <c r="U37" s="97"/>
      <c r="V37" s="97"/>
      <c r="W37" s="97"/>
      <c r="X37" s="97"/>
      <c r="Y37" s="97"/>
      <c r="Z37" s="97"/>
    </row>
    <row r="38" ht="15.75" customHeight="1">
      <c r="A38" s="97"/>
      <c r="B38" s="97"/>
      <c r="C38" s="97"/>
      <c r="D38" s="97"/>
      <c r="E38" s="97"/>
      <c r="F38" s="121"/>
      <c r="G38" s="215"/>
      <c r="H38" s="121"/>
      <c r="I38" s="227"/>
      <c r="J38" s="121"/>
      <c r="K38" s="121"/>
      <c r="L38" s="121"/>
      <c r="P38" s="189"/>
      <c r="R38" s="97"/>
      <c r="S38" s="97"/>
      <c r="T38" s="97"/>
      <c r="U38" s="97"/>
      <c r="V38" s="97"/>
      <c r="W38" s="97"/>
      <c r="X38" s="97"/>
      <c r="Y38" s="97"/>
      <c r="Z38" s="97"/>
    </row>
    <row r="39" ht="15.75" customHeight="1">
      <c r="A39" s="97"/>
      <c r="B39" s="97"/>
      <c r="C39" s="97"/>
      <c r="D39" s="97"/>
      <c r="E39" s="97"/>
      <c r="F39" s="121"/>
      <c r="G39" s="121"/>
      <c r="I39" s="224" t="s">
        <v>226</v>
      </c>
      <c r="J39" s="121"/>
      <c r="K39" s="121"/>
      <c r="L39" s="121"/>
      <c r="P39" s="189"/>
      <c r="R39" s="97"/>
      <c r="S39" s="97"/>
      <c r="T39" s="97"/>
      <c r="U39" s="97"/>
      <c r="V39" s="97"/>
      <c r="W39" s="97"/>
      <c r="X39" s="97"/>
      <c r="Y39" s="97"/>
      <c r="Z39" s="97"/>
    </row>
    <row r="40" ht="15.75" customHeight="1">
      <c r="A40" s="97"/>
      <c r="B40" s="97"/>
      <c r="C40" s="97"/>
      <c r="D40" s="97"/>
      <c r="E40" s="97"/>
      <c r="F40" s="121"/>
      <c r="G40" s="121"/>
      <c r="I40" s="225" t="s">
        <v>160</v>
      </c>
      <c r="J40" s="121"/>
      <c r="K40" s="121"/>
      <c r="L40" s="121"/>
      <c r="P40" s="231">
        <f>Q21</f>
        <v>-80140</v>
      </c>
      <c r="R40" s="97"/>
      <c r="S40" s="97"/>
      <c r="T40" s="97"/>
      <c r="U40" s="97"/>
      <c r="V40" s="97"/>
      <c r="W40" s="97"/>
      <c r="X40" s="97"/>
      <c r="Y40" s="97"/>
      <c r="Z40" s="97"/>
    </row>
    <row r="41" ht="15.75" customHeight="1">
      <c r="A41" s="97"/>
      <c r="B41" s="97"/>
      <c r="C41" s="97"/>
      <c r="D41" s="97"/>
      <c r="E41" s="97"/>
      <c r="F41" s="121"/>
      <c r="G41" s="121"/>
      <c r="I41" s="225" t="s">
        <v>227</v>
      </c>
      <c r="J41" s="121"/>
      <c r="K41" s="121"/>
      <c r="L41" s="121"/>
      <c r="P41" s="189">
        <f>J21</f>
        <v>-40000</v>
      </c>
      <c r="R41" s="97"/>
      <c r="S41" s="97"/>
      <c r="T41" s="97"/>
      <c r="U41" s="97"/>
      <c r="V41" s="97"/>
      <c r="W41" s="97"/>
      <c r="X41" s="97"/>
      <c r="Y41" s="97"/>
      <c r="Z41" s="97"/>
    </row>
    <row r="42" ht="15.75" customHeight="1">
      <c r="A42" s="97"/>
      <c r="B42" s="97"/>
      <c r="C42" s="97"/>
      <c r="D42" s="97"/>
      <c r="E42" s="97"/>
      <c r="F42" s="121"/>
      <c r="G42" s="121"/>
      <c r="I42" s="225" t="s">
        <v>228</v>
      </c>
      <c r="J42" s="121"/>
      <c r="K42" s="121"/>
      <c r="L42" s="121"/>
      <c r="P42" s="189">
        <v>-18000.0</v>
      </c>
      <c r="R42" s="97"/>
      <c r="S42" s="97"/>
      <c r="T42" s="97"/>
      <c r="U42" s="97"/>
      <c r="V42" s="97"/>
      <c r="W42" s="97"/>
      <c r="X42" s="97"/>
      <c r="Y42" s="97"/>
      <c r="Z42" s="97"/>
    </row>
    <row r="43" ht="15.75" customHeight="1">
      <c r="A43" s="97"/>
      <c r="B43" s="97"/>
      <c r="C43" s="97"/>
      <c r="D43" s="97"/>
      <c r="E43" s="97"/>
      <c r="F43" s="121"/>
      <c r="G43" s="121"/>
      <c r="I43" s="225" t="s">
        <v>229</v>
      </c>
      <c r="J43" s="121"/>
      <c r="K43" s="121"/>
      <c r="L43" s="121"/>
      <c r="P43" s="189">
        <f>(G6+G12+G11)*(-1)</f>
        <v>-74636.8</v>
      </c>
      <c r="R43" s="97"/>
      <c r="S43" s="97"/>
      <c r="T43" s="97"/>
      <c r="U43" s="97"/>
      <c r="V43" s="97"/>
      <c r="W43" s="97"/>
      <c r="X43" s="97"/>
      <c r="Y43" s="97"/>
      <c r="Z43" s="97"/>
    </row>
    <row r="44" ht="15.75" customHeight="1">
      <c r="A44" s="97"/>
      <c r="B44" s="97"/>
      <c r="C44" s="97"/>
      <c r="D44" s="97"/>
      <c r="E44" s="97"/>
      <c r="F44" s="121"/>
      <c r="G44" s="121"/>
      <c r="I44" s="225" t="s">
        <v>230</v>
      </c>
      <c r="J44" s="121"/>
      <c r="K44" s="121"/>
      <c r="L44" s="121"/>
      <c r="P44" s="189">
        <v>-2000.0</v>
      </c>
      <c r="R44" s="97"/>
      <c r="S44" s="97"/>
      <c r="T44" s="97"/>
      <c r="U44" s="97"/>
      <c r="V44" s="97"/>
      <c r="W44" s="97"/>
      <c r="X44" s="97"/>
      <c r="Y44" s="97"/>
      <c r="Z44" s="97"/>
    </row>
    <row r="45" ht="15.75" customHeight="1">
      <c r="A45" s="97"/>
      <c r="B45" s="97"/>
      <c r="C45" s="97"/>
      <c r="D45" s="97"/>
      <c r="E45" s="97"/>
      <c r="F45" s="121"/>
      <c r="G45" s="121"/>
      <c r="H45" s="121"/>
      <c r="I45" s="225" t="s">
        <v>231</v>
      </c>
      <c r="J45" s="121"/>
      <c r="K45" s="121"/>
      <c r="L45" s="121"/>
      <c r="P45" s="189">
        <v>-1000.0</v>
      </c>
      <c r="R45" s="97"/>
      <c r="S45" s="97"/>
      <c r="T45" s="97"/>
      <c r="U45" s="97"/>
      <c r="V45" s="97"/>
      <c r="W45" s="97"/>
      <c r="X45" s="97"/>
      <c r="Y45" s="97"/>
      <c r="Z45" s="97"/>
    </row>
    <row r="46" ht="15.75" customHeight="1">
      <c r="A46" s="97"/>
      <c r="B46" s="97"/>
      <c r="C46" s="97"/>
      <c r="D46" s="97"/>
      <c r="E46" s="97"/>
      <c r="F46" s="121"/>
      <c r="G46" s="121"/>
      <c r="H46" s="121"/>
      <c r="I46" s="227"/>
      <c r="J46" s="121"/>
      <c r="K46" s="121"/>
      <c r="L46" s="121"/>
      <c r="P46" s="189"/>
      <c r="R46" s="97"/>
      <c r="S46" s="97"/>
      <c r="T46" s="97"/>
      <c r="U46" s="97"/>
      <c r="V46" s="97"/>
      <c r="W46" s="97"/>
      <c r="X46" s="97"/>
      <c r="Y46" s="97"/>
      <c r="Z46" s="97"/>
    </row>
    <row r="47" ht="15.75" customHeight="1">
      <c r="A47" s="97"/>
      <c r="B47" s="97"/>
      <c r="C47" s="97"/>
      <c r="D47" s="97"/>
      <c r="E47" s="97"/>
      <c r="F47" s="121"/>
      <c r="G47" s="22"/>
      <c r="H47" s="121"/>
      <c r="I47" s="229" t="s">
        <v>232</v>
      </c>
      <c r="J47" s="195"/>
      <c r="K47" s="232"/>
      <c r="L47" s="195"/>
      <c r="M47" s="29"/>
      <c r="N47" s="29"/>
      <c r="O47" s="29"/>
      <c r="P47" s="233">
        <f>SUM(P40:P46)</f>
        <v>-215776.8</v>
      </c>
      <c r="R47" s="97"/>
      <c r="S47" s="97"/>
      <c r="T47" s="97"/>
      <c r="U47" s="97"/>
      <c r="V47" s="97"/>
      <c r="W47" s="97"/>
      <c r="X47" s="97"/>
      <c r="Y47" s="97"/>
      <c r="Z47" s="97"/>
    </row>
    <row r="48" ht="15.75" customHeight="1">
      <c r="A48" s="97"/>
      <c r="B48" s="97"/>
      <c r="C48" s="97"/>
      <c r="D48" s="97"/>
      <c r="E48" s="97"/>
      <c r="F48" s="121"/>
      <c r="G48" s="121"/>
      <c r="H48" s="121"/>
      <c r="I48" s="227"/>
      <c r="J48" s="121"/>
      <c r="K48" s="121"/>
      <c r="L48" s="121"/>
      <c r="P48" s="189"/>
      <c r="R48" s="97"/>
      <c r="S48" s="97"/>
      <c r="T48" s="97"/>
      <c r="U48" s="97"/>
      <c r="V48" s="97"/>
      <c r="W48" s="97"/>
      <c r="X48" s="97"/>
      <c r="Y48" s="97"/>
      <c r="Z48" s="97"/>
    </row>
    <row r="49" ht="15.75" customHeight="1">
      <c r="A49" s="97"/>
      <c r="B49" s="97"/>
      <c r="C49" s="97"/>
      <c r="D49" s="97"/>
      <c r="E49" s="97"/>
      <c r="F49" s="121"/>
      <c r="G49" s="121"/>
      <c r="H49" s="121"/>
      <c r="I49" s="234" t="s">
        <v>155</v>
      </c>
      <c r="J49" s="235"/>
      <c r="K49" s="235"/>
      <c r="L49" s="235"/>
      <c r="M49" s="235"/>
      <c r="N49" s="160"/>
      <c r="O49" s="160"/>
      <c r="P49" s="236">
        <f>P47+P37</f>
        <v>-156576.8</v>
      </c>
      <c r="R49" s="97"/>
      <c r="S49" s="97"/>
      <c r="T49" s="97"/>
      <c r="U49" s="97"/>
      <c r="V49" s="97"/>
      <c r="W49" s="97"/>
      <c r="X49" s="97"/>
      <c r="Y49" s="97"/>
      <c r="Z49" s="97"/>
    </row>
    <row r="50" ht="15.75" customHeight="1">
      <c r="A50" s="97"/>
      <c r="B50" s="97"/>
      <c r="C50" s="97"/>
      <c r="D50" s="97"/>
      <c r="E50" s="97"/>
      <c r="F50" s="121"/>
      <c r="G50" s="121"/>
      <c r="H50" s="121"/>
      <c r="Q50" s="97"/>
      <c r="R50" s="97"/>
      <c r="S50" s="97"/>
      <c r="T50" s="97"/>
      <c r="U50" s="97"/>
      <c r="V50" s="97"/>
      <c r="W50" s="97"/>
      <c r="X50" s="97"/>
      <c r="Y50" s="97"/>
      <c r="Z50" s="97"/>
    </row>
    <row r="51" ht="15.75" customHeight="1">
      <c r="A51" s="97"/>
      <c r="B51" s="97"/>
      <c r="C51" s="97"/>
      <c r="D51" s="97"/>
      <c r="E51" s="97"/>
      <c r="F51" s="121"/>
      <c r="G51" s="121"/>
      <c r="H51" s="121"/>
      <c r="I51" s="121"/>
      <c r="J51" s="121"/>
      <c r="K51" s="121"/>
      <c r="L51" s="121"/>
      <c r="M51" s="121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</row>
    <row r="52" ht="15.75" customHeight="1">
      <c r="A52" s="97"/>
      <c r="B52" s="97"/>
      <c r="C52" s="97"/>
      <c r="D52" s="97"/>
      <c r="E52" s="97"/>
      <c r="F52" s="121"/>
      <c r="G52" s="121"/>
      <c r="H52" s="121"/>
      <c r="J52" s="121"/>
      <c r="K52" s="121"/>
      <c r="L52" s="121"/>
      <c r="M52" s="121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</row>
    <row r="53" ht="15.75" customHeight="1">
      <c r="A53" s="97"/>
      <c r="B53" s="97"/>
      <c r="C53" s="97"/>
      <c r="D53" s="97"/>
      <c r="E53" s="97"/>
      <c r="F53" s="97"/>
      <c r="G53" s="97"/>
      <c r="H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</row>
    <row r="54" ht="15.75" customHeight="1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</row>
    <row r="55" ht="15.75" customHeight="1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</row>
    <row r="56" ht="15.75" customHeight="1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</row>
    <row r="57" ht="15.75" customHeight="1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</row>
    <row r="58" ht="15.75" customHeight="1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</row>
    <row r="59" ht="15.75" customHeight="1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</row>
    <row r="60" ht="15.75" customHeight="1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</row>
    <row r="61" ht="15.75" customHeight="1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</row>
    <row r="62" ht="15.75" customHeight="1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</row>
    <row r="63" ht="15.75" customHeight="1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</row>
    <row r="64" ht="15.75" customHeight="1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</row>
    <row r="65" ht="15.75" customHeight="1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</row>
    <row r="66" ht="15.75" customHeight="1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</row>
    <row r="67" ht="15.75" customHeight="1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</row>
    <row r="68" ht="15.75" customHeight="1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</row>
    <row r="69" ht="15.75" customHeight="1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</row>
    <row r="70" ht="15.75" customHeight="1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</row>
    <row r="71" ht="15.75" customHeight="1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</row>
    <row r="72" ht="15.75" customHeight="1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</row>
    <row r="73" ht="15.75" customHeight="1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</row>
    <row r="74" ht="15.75" customHeight="1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</row>
    <row r="75" ht="15.75" customHeight="1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</row>
    <row r="76" ht="15.75" customHeight="1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</row>
    <row r="77" ht="15.75" customHeight="1">
      <c r="A77" s="97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</row>
    <row r="78" ht="15.75" customHeight="1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</row>
    <row r="79" ht="15.75" customHeight="1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</row>
    <row r="80" ht="15.75" customHeight="1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</row>
    <row r="81" ht="15.75" customHeight="1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</row>
    <row r="82" ht="15.75" customHeight="1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</row>
    <row r="83" ht="15.75" customHeight="1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</row>
    <row r="84" ht="15.75" customHeight="1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</row>
    <row r="85" ht="15.75" customHeight="1">
      <c r="A85" s="97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</row>
    <row r="86" ht="15.75" customHeight="1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</row>
    <row r="87" ht="15.75" customHeight="1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</row>
    <row r="88" ht="15.75" customHeight="1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</row>
    <row r="89" ht="15.75" customHeight="1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</row>
    <row r="90" ht="15.75" customHeight="1">
      <c r="A90" s="97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</row>
    <row r="91" ht="15.75" customHeight="1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</row>
    <row r="92" ht="15.75" customHeight="1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</row>
    <row r="93" ht="15.75" customHeight="1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</row>
    <row r="94" ht="15.75" customHeight="1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</row>
    <row r="95" ht="15.75" customHeight="1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</row>
    <row r="96" ht="15.75" customHeight="1">
      <c r="A96" s="97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</row>
    <row r="97" ht="15.75" customHeight="1">
      <c r="A97" s="97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</row>
    <row r="98" ht="15.75" customHeight="1">
      <c r="A98" s="97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</row>
    <row r="99" ht="15.75" customHeight="1">
      <c r="A99" s="97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</row>
    <row r="100" ht="15.75" customHeight="1">
      <c r="A100" s="97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</row>
    <row r="101" ht="15.75" customHeight="1">
      <c r="A101" s="97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</row>
    <row r="102" ht="15.75" customHeight="1">
      <c r="A102" s="97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</row>
    <row r="103" ht="15.75" customHeight="1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</row>
    <row r="104" ht="15.75" customHeight="1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</row>
    <row r="105" ht="15.75" customHeight="1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</row>
    <row r="106" ht="15.75" customHeight="1">
      <c r="A106" s="97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</row>
    <row r="107" ht="15.75" customHeight="1">
      <c r="A107" s="97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</row>
    <row r="108" ht="15.75" customHeight="1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</row>
    <row r="109" ht="15.75" customHeight="1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</row>
    <row r="110" ht="15.75" customHeight="1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</row>
    <row r="111" ht="15.75" customHeight="1">
      <c r="A111" s="97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</row>
    <row r="112" ht="15.75" customHeight="1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</row>
    <row r="113" ht="15.75" customHeight="1">
      <c r="A113" s="97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</row>
    <row r="114" ht="15.75" customHeight="1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</row>
    <row r="115" ht="15.75" customHeight="1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</row>
    <row r="116" ht="15.75" customHeight="1">
      <c r="A116" s="97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</row>
    <row r="117" ht="15.75" customHeight="1">
      <c r="A117" s="97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</row>
    <row r="118" ht="15.75" customHeight="1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</row>
    <row r="119" ht="15.75" customHeight="1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</row>
    <row r="120" ht="15.75" customHeight="1">
      <c r="A120" s="97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</row>
    <row r="121" ht="15.75" customHeight="1">
      <c r="A121" s="97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</row>
    <row r="122" ht="15.75" customHeight="1">
      <c r="A122" s="97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</row>
    <row r="123" ht="15.75" customHeight="1">
      <c r="A123" s="9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</row>
    <row r="124" ht="15.75" customHeight="1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</row>
    <row r="125" ht="15.75" customHeight="1">
      <c r="A125" s="97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</row>
    <row r="126" ht="15.75" customHeight="1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</row>
    <row r="127" ht="15.75" customHeight="1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</row>
    <row r="128" ht="15.75" customHeight="1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</row>
    <row r="129" ht="15.75" customHeight="1">
      <c r="A129" s="97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</row>
    <row r="130" ht="15.75" customHeight="1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</row>
    <row r="131" ht="15.75" customHeight="1">
      <c r="A131" s="97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</row>
    <row r="132" ht="15.75" customHeight="1">
      <c r="A132" s="97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</row>
    <row r="133" ht="15.75" customHeight="1">
      <c r="A133" s="97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</row>
    <row r="134" ht="15.75" customHeight="1">
      <c r="A134" s="97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</row>
    <row r="135" ht="15.75" customHeight="1">
      <c r="A135" s="97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</row>
    <row r="136" ht="15.75" customHeight="1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</row>
    <row r="137" ht="15.75" customHeight="1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</row>
    <row r="138" ht="15.75" customHeight="1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</row>
    <row r="139" ht="15.75" customHeight="1">
      <c r="A139" s="97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</row>
    <row r="140" ht="15.75" customHeight="1">
      <c r="A140" s="97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</row>
    <row r="141" ht="15.75" customHeight="1">
      <c r="A141" s="97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</row>
    <row r="142" ht="15.75" customHeight="1">
      <c r="A142" s="97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</row>
    <row r="143" ht="15.75" customHeight="1">
      <c r="A143" s="97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</row>
    <row r="144" ht="15.75" customHeight="1">
      <c r="A144" s="97"/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</row>
    <row r="145" ht="15.75" customHeight="1">
      <c r="A145" s="97"/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</row>
    <row r="146" ht="15.75" customHeight="1">
      <c r="A146" s="97"/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</row>
    <row r="147" ht="15.75" customHeight="1">
      <c r="A147" s="97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</row>
    <row r="148" ht="15.75" customHeight="1">
      <c r="A148" s="97"/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</row>
    <row r="149" ht="15.75" customHeight="1">
      <c r="A149" s="97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</row>
    <row r="150" ht="15.75" customHeight="1">
      <c r="A150" s="97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</row>
    <row r="151" ht="15.75" customHeight="1">
      <c r="A151" s="97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</row>
    <row r="152" ht="15.75" customHeight="1">
      <c r="A152" s="97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</row>
    <row r="153" ht="15.75" customHeight="1">
      <c r="A153" s="97"/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</row>
    <row r="154" ht="15.75" customHeight="1">
      <c r="A154" s="97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</row>
    <row r="155" ht="15.75" customHeight="1">
      <c r="A155" s="97"/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</row>
    <row r="156" ht="15.75" customHeight="1">
      <c r="A156" s="97"/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</row>
    <row r="157" ht="15.75" customHeight="1">
      <c r="A157" s="97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</row>
    <row r="158" ht="15.75" customHeight="1">
      <c r="A158" s="97"/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</row>
    <row r="159" ht="15.75" customHeight="1">
      <c r="A159" s="97"/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</row>
    <row r="160" ht="15.75" customHeight="1">
      <c r="A160" s="97"/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</row>
    <row r="161" ht="15.75" customHeight="1">
      <c r="A161" s="97"/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</row>
    <row r="162" ht="15.75" customHeight="1">
      <c r="A162" s="97"/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</row>
    <row r="163" ht="15.75" customHeight="1">
      <c r="A163" s="97"/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</row>
    <row r="164" ht="15.75" customHeight="1">
      <c r="A164" s="97"/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</row>
    <row r="165" ht="15.75" customHeight="1">
      <c r="A165" s="97"/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</row>
    <row r="166" ht="15.75" customHeight="1">
      <c r="A166" s="97"/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</row>
    <row r="167" ht="15.75" customHeight="1">
      <c r="A167" s="97"/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</row>
    <row r="168" ht="15.75" customHeight="1">
      <c r="A168" s="97"/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</row>
    <row r="169" ht="15.75" customHeight="1">
      <c r="A169" s="97"/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</row>
    <row r="170" ht="15.75" customHeight="1">
      <c r="A170" s="97"/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</row>
    <row r="171" ht="15.75" customHeight="1">
      <c r="A171" s="97"/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</row>
    <row r="172" ht="15.75" customHeight="1">
      <c r="A172" s="97"/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</row>
    <row r="173" ht="15.75" customHeight="1">
      <c r="A173" s="97"/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</row>
    <row r="174" ht="15.75" customHeight="1">
      <c r="A174" s="97"/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</row>
    <row r="175" ht="15.75" customHeight="1">
      <c r="A175" s="97"/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</row>
    <row r="176" ht="15.75" customHeight="1">
      <c r="A176" s="97"/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</row>
    <row r="177" ht="15.75" customHeight="1">
      <c r="A177" s="97"/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</row>
    <row r="178" ht="15.75" customHeight="1">
      <c r="A178" s="97"/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</row>
    <row r="179" ht="15.75" customHeight="1">
      <c r="A179" s="97"/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</row>
    <row r="180" ht="15.75" customHeight="1">
      <c r="A180" s="97"/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</row>
    <row r="181" ht="15.75" customHeight="1">
      <c r="A181" s="97"/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</row>
    <row r="182" ht="15.75" customHeight="1">
      <c r="A182" s="97"/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</row>
    <row r="183" ht="15.75" customHeight="1">
      <c r="A183" s="97"/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</row>
    <row r="184" ht="15.75" customHeight="1">
      <c r="A184" s="97"/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</row>
    <row r="185" ht="15.75" customHeight="1">
      <c r="A185" s="97"/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</row>
    <row r="186" ht="15.75" customHeight="1">
      <c r="A186" s="97"/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</row>
    <row r="187" ht="15.75" customHeight="1">
      <c r="A187" s="97"/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</row>
    <row r="188" ht="15.75" customHeight="1">
      <c r="A188" s="97"/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</row>
    <row r="189" ht="15.75" customHeight="1">
      <c r="A189" s="97"/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</row>
    <row r="190" ht="15.75" customHeight="1">
      <c r="A190" s="97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</row>
    <row r="191" ht="15.75" customHeight="1">
      <c r="A191" s="97"/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</row>
    <row r="192" ht="15.75" customHeight="1">
      <c r="A192" s="97"/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</row>
    <row r="193" ht="15.75" customHeight="1">
      <c r="A193" s="97"/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</row>
    <row r="194" ht="15.75" customHeight="1">
      <c r="A194" s="97"/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</row>
    <row r="195" ht="15.75" customHeight="1">
      <c r="A195" s="97"/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</row>
    <row r="196" ht="15.75" customHeight="1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</row>
    <row r="197" ht="15.75" customHeight="1">
      <c r="A197" s="97"/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</row>
    <row r="198" ht="15.75" customHeight="1">
      <c r="A198" s="97"/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</row>
    <row r="199" ht="15.75" customHeight="1">
      <c r="A199" s="97"/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</row>
    <row r="200" ht="15.75" customHeight="1">
      <c r="A200" s="97"/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</row>
    <row r="201" ht="15.75" customHeight="1">
      <c r="A201" s="97"/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</row>
    <row r="202" ht="15.75" customHeight="1">
      <c r="A202" s="97"/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</row>
    <row r="203" ht="15.75" customHeight="1">
      <c r="A203" s="97"/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</row>
    <row r="204" ht="15.75" customHeight="1">
      <c r="A204" s="97"/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</row>
    <row r="205" ht="15.75" customHeight="1">
      <c r="A205" s="97"/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</row>
    <row r="206" ht="15.75" customHeight="1">
      <c r="A206" s="97"/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</row>
    <row r="207" ht="15.75" customHeight="1">
      <c r="A207" s="97"/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</row>
    <row r="208" ht="15.75" customHeight="1">
      <c r="A208" s="97"/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</row>
    <row r="209" ht="15.75" customHeight="1">
      <c r="A209" s="97"/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</row>
    <row r="210" ht="15.75" customHeight="1">
      <c r="A210" s="97"/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</row>
    <row r="211" ht="15.75" customHeight="1">
      <c r="A211" s="97"/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</row>
    <row r="212" ht="15.75" customHeight="1">
      <c r="A212" s="97"/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</row>
    <row r="213" ht="15.75" customHeight="1">
      <c r="A213" s="97"/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</row>
    <row r="214" ht="15.75" customHeight="1">
      <c r="A214" s="97"/>
      <c r="B214" s="97"/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</row>
    <row r="215" ht="15.75" customHeight="1">
      <c r="A215" s="97"/>
      <c r="B215" s="9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</row>
    <row r="216" ht="15.75" customHeight="1">
      <c r="A216" s="97"/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</row>
    <row r="217" ht="15.75" customHeight="1">
      <c r="A217" s="97"/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</row>
    <row r="218" ht="15.75" customHeight="1">
      <c r="A218" s="97"/>
      <c r="B218" s="97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</row>
    <row r="219" ht="15.75" customHeight="1">
      <c r="A219" s="97"/>
      <c r="B219" s="9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</row>
    <row r="220" ht="15.75" customHeight="1">
      <c r="A220" s="97"/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</row>
    <row r="221" ht="15.75" customHeight="1">
      <c r="A221" s="97"/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</row>
    <row r="222" ht="15.75" customHeight="1">
      <c r="A222" s="97"/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</row>
    <row r="223" ht="15.75" customHeight="1">
      <c r="A223" s="97"/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</row>
    <row r="224" ht="15.75" customHeight="1">
      <c r="A224" s="97"/>
      <c r="B224" s="97"/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</row>
    <row r="225" ht="15.75" customHeight="1">
      <c r="A225" s="97"/>
      <c r="B225" s="97"/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</row>
    <row r="226" ht="15.75" customHeight="1">
      <c r="A226" s="97"/>
      <c r="B226" s="97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</row>
    <row r="227" ht="15.75" customHeight="1">
      <c r="A227" s="97"/>
      <c r="B227" s="97"/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</row>
    <row r="228" ht="15.75" customHeight="1">
      <c r="A228" s="97"/>
      <c r="B228" s="97"/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</row>
    <row r="229" ht="15.75" customHeight="1">
      <c r="A229" s="97"/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</row>
    <row r="230" ht="15.75" customHeight="1">
      <c r="A230" s="97"/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</row>
    <row r="231" ht="15.75" customHeight="1">
      <c r="A231" s="97"/>
      <c r="B231" s="97"/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</row>
    <row r="232" ht="15.75" customHeight="1">
      <c r="A232" s="97"/>
      <c r="B232" s="97"/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</row>
    <row r="233" ht="15.75" customHeight="1">
      <c r="A233" s="97"/>
      <c r="B233" s="97"/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</row>
    <row r="234" ht="15.75" customHeight="1">
      <c r="A234" s="97"/>
      <c r="B234" s="97"/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</row>
    <row r="235" ht="15.75" customHeight="1">
      <c r="A235" s="97"/>
      <c r="B235" s="97"/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</row>
    <row r="236" ht="15.75" customHeight="1">
      <c r="A236" s="97"/>
      <c r="B236" s="97"/>
      <c r="C236" s="97"/>
      <c r="D236" s="97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</row>
    <row r="237" ht="15.75" customHeight="1">
      <c r="A237" s="97"/>
      <c r="B237" s="97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</row>
    <row r="238" ht="15.75" customHeight="1">
      <c r="A238" s="97"/>
      <c r="B238" s="97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</row>
    <row r="239" ht="15.75" customHeight="1">
      <c r="A239" s="97"/>
      <c r="B239" s="97"/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</row>
    <row r="240" ht="15.75" customHeight="1">
      <c r="A240" s="97"/>
      <c r="B240" s="97"/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</row>
    <row r="241" ht="15.75" customHeight="1">
      <c r="A241" s="97"/>
      <c r="B241" s="97"/>
      <c r="C241" s="97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</row>
    <row r="242" ht="15.75" customHeight="1">
      <c r="A242" s="97"/>
      <c r="B242" s="97"/>
      <c r="C242" s="97"/>
      <c r="D242" s="97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</row>
    <row r="243" ht="15.75" customHeight="1">
      <c r="A243" s="97"/>
      <c r="B243" s="97"/>
      <c r="C243" s="97"/>
      <c r="D243" s="97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</row>
    <row r="244" ht="15.75" customHeight="1">
      <c r="A244" s="97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</row>
    <row r="245" ht="15.75" customHeight="1">
      <c r="A245" s="97"/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</row>
    <row r="246" ht="15.75" customHeight="1">
      <c r="A246" s="97"/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</row>
    <row r="247" ht="15.75" customHeight="1">
      <c r="A247" s="97"/>
      <c r="B247" s="97"/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</row>
    <row r="248" ht="15.75" customHeight="1">
      <c r="A248" s="97"/>
      <c r="B248" s="97"/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</row>
    <row r="249" ht="15.75" customHeight="1">
      <c r="A249" s="97"/>
      <c r="B249" s="97"/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</row>
    <row r="250" ht="15.75" customHeight="1">
      <c r="A250" s="97"/>
      <c r="B250" s="97"/>
      <c r="C250" s="97"/>
      <c r="D250" s="97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</row>
    <row r="251" ht="15.75" customHeight="1">
      <c r="A251" s="97"/>
      <c r="B251" s="97"/>
      <c r="C251" s="97"/>
      <c r="D251" s="97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</row>
    <row r="252" ht="15.75" customHeight="1">
      <c r="A252" s="97"/>
      <c r="B252" s="97"/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</row>
    <row r="253" ht="15.75" customHeight="1">
      <c r="A253" s="97"/>
      <c r="B253" s="97"/>
      <c r="C253" s="97"/>
      <c r="D253" s="97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</row>
    <row r="254" ht="15.75" customHeight="1">
      <c r="A254" s="97"/>
      <c r="B254" s="97"/>
      <c r="C254" s="97"/>
      <c r="D254" s="97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</row>
    <row r="255" ht="15.75" customHeight="1">
      <c r="A255" s="97"/>
      <c r="B255" s="97"/>
      <c r="C255" s="97"/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</row>
    <row r="256" ht="15.75" customHeight="1">
      <c r="A256" s="97"/>
      <c r="B256" s="97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</row>
    <row r="257" ht="15.75" customHeight="1">
      <c r="A257" s="97"/>
      <c r="B257" s="97"/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</row>
    <row r="258" ht="15.75" customHeight="1">
      <c r="A258" s="97"/>
      <c r="B258" s="97"/>
      <c r="C258" s="97"/>
      <c r="D258" s="97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</row>
    <row r="259" ht="15.75" customHeight="1">
      <c r="A259" s="97"/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</row>
    <row r="260" ht="15.75" customHeight="1">
      <c r="A260" s="97"/>
      <c r="B260" s="97"/>
      <c r="C260" s="97"/>
      <c r="D260" s="97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</row>
    <row r="261" ht="15.75" customHeight="1">
      <c r="A261" s="97"/>
      <c r="B261" s="97"/>
      <c r="C261" s="97"/>
      <c r="D261" s="97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</row>
    <row r="262" ht="15.75" customHeight="1">
      <c r="A262" s="97"/>
      <c r="B262" s="97"/>
      <c r="C262" s="97"/>
      <c r="D262" s="97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</row>
    <row r="263" ht="15.75" customHeight="1">
      <c r="A263" s="97"/>
      <c r="B263" s="97"/>
      <c r="C263" s="97"/>
      <c r="D263" s="97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</row>
    <row r="264" ht="15.75" customHeight="1">
      <c r="A264" s="97"/>
      <c r="B264" s="97"/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</row>
    <row r="265" ht="15.75" customHeight="1">
      <c r="A265" s="97"/>
      <c r="B265" s="97"/>
      <c r="C265" s="97"/>
      <c r="D265" s="97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</row>
    <row r="266" ht="15.75" customHeight="1">
      <c r="A266" s="97"/>
      <c r="B266" s="97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</row>
    <row r="267" ht="15.75" customHeight="1">
      <c r="A267" s="97"/>
      <c r="B267" s="97"/>
      <c r="C267" s="97"/>
      <c r="D267" s="97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</row>
    <row r="268" ht="15.75" customHeight="1">
      <c r="A268" s="97"/>
      <c r="B268" s="97"/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</row>
    <row r="269" ht="15.75" customHeight="1">
      <c r="A269" s="97"/>
      <c r="B269" s="97"/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</row>
    <row r="270" ht="15.75" customHeight="1">
      <c r="A270" s="97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</row>
    <row r="271" ht="15.75" customHeight="1">
      <c r="A271" s="97"/>
      <c r="B271" s="97"/>
      <c r="C271" s="97"/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</row>
    <row r="272" ht="15.75" customHeight="1">
      <c r="A272" s="97"/>
      <c r="B272" s="97"/>
      <c r="C272" s="97"/>
      <c r="D272" s="97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</row>
    <row r="273" ht="15.75" customHeight="1">
      <c r="A273" s="97"/>
      <c r="B273" s="97"/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</row>
    <row r="274" ht="15.75" customHeight="1">
      <c r="A274" s="97"/>
      <c r="B274" s="97"/>
      <c r="C274" s="97"/>
      <c r="D274" s="97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</row>
    <row r="275" ht="15.75" customHeight="1">
      <c r="A275" s="97"/>
      <c r="B275" s="97"/>
      <c r="C275" s="97"/>
      <c r="D275" s="97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</row>
    <row r="276" ht="15.75" customHeight="1">
      <c r="A276" s="97"/>
      <c r="B276" s="97"/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</row>
    <row r="277" ht="15.75" customHeight="1">
      <c r="A277" s="97"/>
      <c r="B277" s="97"/>
      <c r="C277" s="97"/>
      <c r="D277" s="97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</row>
    <row r="278" ht="15.75" customHeight="1">
      <c r="A278" s="97"/>
      <c r="B278" s="97"/>
      <c r="C278" s="97"/>
      <c r="D278" s="97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</row>
    <row r="279" ht="15.75" customHeight="1">
      <c r="A279" s="97"/>
      <c r="B279" s="97"/>
      <c r="C279" s="97"/>
      <c r="D279" s="97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</row>
    <row r="280" ht="15.75" customHeight="1">
      <c r="A280" s="97"/>
      <c r="B280" s="97"/>
      <c r="C280" s="97"/>
      <c r="D280" s="97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</row>
    <row r="281" ht="15.75" customHeight="1">
      <c r="A281" s="97"/>
      <c r="B281" s="97"/>
      <c r="C281" s="97"/>
      <c r="D281" s="97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</row>
    <row r="282" ht="15.75" customHeight="1">
      <c r="A282" s="97"/>
      <c r="B282" s="97"/>
      <c r="C282" s="97"/>
      <c r="D282" s="97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</row>
    <row r="283" ht="15.75" customHeight="1">
      <c r="A283" s="97"/>
      <c r="B283" s="97"/>
      <c r="C283" s="97"/>
      <c r="D283" s="97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</row>
    <row r="284" ht="15.75" customHeight="1">
      <c r="A284" s="97"/>
      <c r="B284" s="97"/>
      <c r="C284" s="97"/>
      <c r="D284" s="97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</row>
    <row r="285" ht="15.75" customHeight="1">
      <c r="A285" s="97"/>
      <c r="B285" s="97"/>
      <c r="C285" s="97"/>
      <c r="D285" s="97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</row>
    <row r="286" ht="15.75" customHeight="1">
      <c r="A286" s="97"/>
      <c r="B286" s="97"/>
      <c r="C286" s="97"/>
      <c r="D286" s="97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</row>
    <row r="287" ht="15.75" customHeight="1">
      <c r="A287" s="97"/>
      <c r="B287" s="97"/>
      <c r="C287" s="97"/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</row>
    <row r="288" ht="15.75" customHeight="1">
      <c r="A288" s="97"/>
      <c r="B288" s="97"/>
      <c r="C288" s="97"/>
      <c r="D288" s="97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</row>
    <row r="289" ht="15.75" customHeight="1">
      <c r="A289" s="97"/>
      <c r="B289" s="97"/>
      <c r="C289" s="97"/>
      <c r="D289" s="97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</row>
    <row r="290" ht="15.75" customHeight="1">
      <c r="A290" s="97"/>
      <c r="B290" s="97"/>
      <c r="C290" s="97"/>
      <c r="D290" s="97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</row>
    <row r="291" ht="15.75" customHeight="1">
      <c r="A291" s="97"/>
      <c r="B291" s="97"/>
      <c r="C291" s="97"/>
      <c r="D291" s="97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</row>
    <row r="292" ht="15.75" customHeight="1">
      <c r="A292" s="97"/>
      <c r="B292" s="97"/>
      <c r="C292" s="97"/>
      <c r="D292" s="97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</row>
    <row r="293" ht="15.75" customHeight="1">
      <c r="A293" s="97"/>
      <c r="B293" s="97"/>
      <c r="C293" s="97"/>
      <c r="D293" s="97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</row>
    <row r="294" ht="15.75" customHeight="1">
      <c r="A294" s="97"/>
      <c r="B294" s="97"/>
      <c r="C294" s="97"/>
      <c r="D294" s="97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</row>
    <row r="295" ht="15.75" customHeight="1">
      <c r="A295" s="97"/>
      <c r="B295" s="97"/>
      <c r="C295" s="97"/>
      <c r="D295" s="97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</row>
    <row r="296" ht="15.75" customHeight="1">
      <c r="A296" s="97"/>
      <c r="B296" s="97"/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</row>
    <row r="297" ht="15.75" customHeight="1">
      <c r="A297" s="97"/>
      <c r="B297" s="97"/>
      <c r="C297" s="97"/>
      <c r="D297" s="97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</row>
    <row r="298" ht="15.75" customHeight="1">
      <c r="A298" s="97"/>
      <c r="B298" s="97"/>
      <c r="C298" s="97"/>
      <c r="D298" s="97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</row>
    <row r="299" ht="15.75" customHeight="1">
      <c r="A299" s="97"/>
      <c r="B299" s="97"/>
      <c r="C299" s="97"/>
      <c r="D299" s="97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</row>
    <row r="300" ht="15.75" customHeight="1">
      <c r="A300" s="97"/>
      <c r="B300" s="97"/>
      <c r="C300" s="97"/>
      <c r="D300" s="97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</row>
    <row r="301" ht="15.75" customHeight="1">
      <c r="A301" s="97"/>
      <c r="B301" s="97"/>
      <c r="C301" s="97"/>
      <c r="D301" s="97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</row>
    <row r="302" ht="15.75" customHeight="1">
      <c r="A302" s="97"/>
      <c r="B302" s="97"/>
      <c r="C302" s="97"/>
      <c r="D302" s="97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</row>
    <row r="303" ht="15.75" customHeight="1">
      <c r="A303" s="97"/>
      <c r="B303" s="97"/>
      <c r="C303" s="97"/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</row>
    <row r="304" ht="15.75" customHeight="1">
      <c r="A304" s="97"/>
      <c r="B304" s="97"/>
      <c r="C304" s="97"/>
      <c r="D304" s="97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</row>
    <row r="305" ht="15.75" customHeight="1">
      <c r="A305" s="97"/>
      <c r="B305" s="97"/>
      <c r="C305" s="97"/>
      <c r="D305" s="97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</row>
    <row r="306" ht="15.75" customHeight="1">
      <c r="A306" s="97"/>
      <c r="B306" s="97"/>
      <c r="C306" s="97"/>
      <c r="D306" s="97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</row>
    <row r="307" ht="15.75" customHeight="1">
      <c r="A307" s="97"/>
      <c r="B307" s="97"/>
      <c r="C307" s="97"/>
      <c r="D307" s="97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</row>
    <row r="308" ht="15.75" customHeight="1">
      <c r="A308" s="97"/>
      <c r="B308" s="97"/>
      <c r="C308" s="97"/>
      <c r="D308" s="97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</row>
    <row r="309" ht="15.75" customHeight="1">
      <c r="A309" s="97"/>
      <c r="B309" s="97"/>
      <c r="C309" s="97"/>
      <c r="D309" s="97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</row>
    <row r="310" ht="15.75" customHeight="1">
      <c r="A310" s="97"/>
      <c r="B310" s="97"/>
      <c r="C310" s="97"/>
      <c r="D310" s="97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</row>
    <row r="311" ht="15.75" customHeight="1">
      <c r="A311" s="97"/>
      <c r="B311" s="97"/>
      <c r="C311" s="97"/>
      <c r="D311" s="97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</row>
    <row r="312" ht="15.75" customHeight="1">
      <c r="A312" s="97"/>
      <c r="B312" s="97"/>
      <c r="C312" s="97"/>
      <c r="D312" s="97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</row>
    <row r="313" ht="15.75" customHeight="1">
      <c r="A313" s="97"/>
      <c r="B313" s="97"/>
      <c r="C313" s="97"/>
      <c r="D313" s="97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</row>
    <row r="314" ht="15.75" customHeight="1">
      <c r="A314" s="97"/>
      <c r="B314" s="97"/>
      <c r="C314" s="97"/>
      <c r="D314" s="97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</row>
    <row r="315" ht="15.75" customHeight="1">
      <c r="A315" s="97"/>
      <c r="B315" s="97"/>
      <c r="C315" s="97"/>
      <c r="D315" s="97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</row>
    <row r="316" ht="15.75" customHeight="1">
      <c r="A316" s="97"/>
      <c r="B316" s="97"/>
      <c r="C316" s="97"/>
      <c r="D316" s="97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</row>
    <row r="317" ht="15.75" customHeight="1">
      <c r="A317" s="97"/>
      <c r="B317" s="97"/>
      <c r="C317" s="97"/>
      <c r="D317" s="97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</row>
    <row r="318" ht="15.75" customHeight="1">
      <c r="A318" s="97"/>
      <c r="B318" s="97"/>
      <c r="C318" s="97"/>
      <c r="D318" s="97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</row>
    <row r="319" ht="15.75" customHeight="1">
      <c r="A319" s="97"/>
      <c r="B319" s="97"/>
      <c r="C319" s="97"/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</row>
    <row r="320" ht="15.75" customHeight="1">
      <c r="A320" s="97"/>
      <c r="B320" s="97"/>
      <c r="C320" s="97"/>
      <c r="D320" s="97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</row>
    <row r="321" ht="15.75" customHeight="1">
      <c r="A321" s="97"/>
      <c r="B321" s="97"/>
      <c r="C321" s="97"/>
      <c r="D321" s="97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</row>
    <row r="322" ht="15.75" customHeight="1">
      <c r="A322" s="97"/>
      <c r="B322" s="97"/>
      <c r="C322" s="97"/>
      <c r="D322" s="97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</row>
    <row r="323" ht="15.75" customHeight="1">
      <c r="A323" s="97"/>
      <c r="B323" s="97"/>
      <c r="C323" s="97"/>
      <c r="D323" s="97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</row>
    <row r="324" ht="15.75" customHeight="1">
      <c r="A324" s="97"/>
      <c r="B324" s="97"/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</row>
    <row r="325" ht="15.75" customHeight="1">
      <c r="A325" s="97"/>
      <c r="B325" s="97"/>
      <c r="C325" s="97"/>
      <c r="D325" s="97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</row>
    <row r="326" ht="15.75" customHeight="1">
      <c r="A326" s="97"/>
      <c r="B326" s="97"/>
      <c r="C326" s="97"/>
      <c r="D326" s="97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</row>
    <row r="327" ht="15.75" customHeight="1">
      <c r="A327" s="97"/>
      <c r="B327" s="97"/>
      <c r="C327" s="97"/>
      <c r="D327" s="97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</row>
    <row r="328" ht="15.75" customHeight="1">
      <c r="A328" s="97"/>
      <c r="B328" s="97"/>
      <c r="C328" s="97"/>
      <c r="D328" s="97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</row>
    <row r="329" ht="15.75" customHeight="1">
      <c r="A329" s="97"/>
      <c r="B329" s="97"/>
      <c r="C329" s="97"/>
      <c r="D329" s="97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</row>
    <row r="330" ht="15.75" customHeight="1">
      <c r="A330" s="97"/>
      <c r="B330" s="97"/>
      <c r="C330" s="97"/>
      <c r="D330" s="97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</row>
    <row r="331" ht="15.75" customHeight="1">
      <c r="A331" s="97"/>
      <c r="B331" s="97"/>
      <c r="C331" s="97"/>
      <c r="D331" s="97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</row>
    <row r="332" ht="15.75" customHeight="1">
      <c r="A332" s="97"/>
      <c r="B332" s="97"/>
      <c r="C332" s="97"/>
      <c r="D332" s="97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</row>
    <row r="333" ht="15.75" customHeight="1">
      <c r="A333" s="97"/>
      <c r="B333" s="97"/>
      <c r="C333" s="97"/>
      <c r="D333" s="97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</row>
    <row r="334" ht="15.75" customHeight="1">
      <c r="A334" s="97"/>
      <c r="B334" s="97"/>
      <c r="C334" s="97"/>
      <c r="D334" s="97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</row>
    <row r="335" ht="15.75" customHeight="1">
      <c r="A335" s="97"/>
      <c r="B335" s="97"/>
      <c r="C335" s="97"/>
      <c r="D335" s="97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</row>
    <row r="336" ht="15.75" customHeight="1">
      <c r="A336" s="97"/>
      <c r="B336" s="97"/>
      <c r="C336" s="97"/>
      <c r="D336" s="97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</row>
    <row r="337" ht="15.75" customHeight="1">
      <c r="A337" s="97"/>
      <c r="B337" s="97"/>
      <c r="C337" s="97"/>
      <c r="D337" s="97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</row>
    <row r="338" ht="15.75" customHeight="1">
      <c r="A338" s="97"/>
      <c r="B338" s="97"/>
      <c r="C338" s="97"/>
      <c r="D338" s="97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</row>
    <row r="339" ht="15.75" customHeight="1">
      <c r="A339" s="97"/>
      <c r="B339" s="97"/>
      <c r="C339" s="97"/>
      <c r="D339" s="97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</row>
    <row r="340" ht="15.75" customHeight="1">
      <c r="A340" s="97"/>
      <c r="B340" s="97"/>
      <c r="C340" s="97"/>
      <c r="D340" s="97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</row>
    <row r="341" ht="15.75" customHeight="1">
      <c r="A341" s="97"/>
      <c r="B341" s="97"/>
      <c r="C341" s="97"/>
      <c r="D341" s="97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</row>
    <row r="342" ht="15.75" customHeight="1">
      <c r="A342" s="97"/>
      <c r="B342" s="97"/>
      <c r="C342" s="97"/>
      <c r="D342" s="97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</row>
    <row r="343" ht="15.75" customHeight="1">
      <c r="A343" s="97"/>
      <c r="B343" s="97"/>
      <c r="C343" s="97"/>
      <c r="D343" s="97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</row>
    <row r="344" ht="15.75" customHeight="1">
      <c r="A344" s="97"/>
      <c r="B344" s="97"/>
      <c r="C344" s="97"/>
      <c r="D344" s="97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</row>
    <row r="345" ht="15.75" customHeight="1">
      <c r="A345" s="97"/>
      <c r="B345" s="97"/>
      <c r="C345" s="97"/>
      <c r="D345" s="97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</row>
    <row r="346" ht="15.75" customHeight="1">
      <c r="A346" s="97"/>
      <c r="B346" s="97"/>
      <c r="C346" s="97"/>
      <c r="D346" s="97"/>
      <c r="E346" s="97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</row>
    <row r="347" ht="15.75" customHeight="1">
      <c r="A347" s="97"/>
      <c r="B347" s="97"/>
      <c r="C347" s="97"/>
      <c r="D347" s="97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</row>
    <row r="348" ht="15.75" customHeight="1">
      <c r="A348" s="97"/>
      <c r="B348" s="97"/>
      <c r="C348" s="97"/>
      <c r="D348" s="97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</row>
    <row r="349" ht="15.75" customHeight="1">
      <c r="A349" s="97"/>
      <c r="B349" s="97"/>
      <c r="C349" s="97"/>
      <c r="D349" s="97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</row>
    <row r="350" ht="15.75" customHeight="1">
      <c r="A350" s="97"/>
      <c r="B350" s="97"/>
      <c r="C350" s="97"/>
      <c r="D350" s="97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</row>
    <row r="351" ht="15.75" customHeight="1">
      <c r="A351" s="97"/>
      <c r="B351" s="97"/>
      <c r="C351" s="97"/>
      <c r="D351" s="97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</row>
    <row r="352" ht="15.75" customHeight="1">
      <c r="A352" s="97"/>
      <c r="B352" s="97"/>
      <c r="C352" s="97"/>
      <c r="D352" s="97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</row>
    <row r="353" ht="15.75" customHeight="1">
      <c r="A353" s="97"/>
      <c r="B353" s="97"/>
      <c r="C353" s="97"/>
      <c r="D353" s="97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</row>
    <row r="354" ht="15.75" customHeight="1">
      <c r="A354" s="97"/>
      <c r="B354" s="97"/>
      <c r="C354" s="97"/>
      <c r="D354" s="97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</row>
    <row r="355" ht="15.75" customHeight="1">
      <c r="A355" s="97"/>
      <c r="B355" s="97"/>
      <c r="C355" s="97"/>
      <c r="D355" s="97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</row>
    <row r="356" ht="15.75" customHeight="1">
      <c r="A356" s="97"/>
      <c r="B356" s="97"/>
      <c r="C356" s="97"/>
      <c r="D356" s="97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</row>
    <row r="357" ht="15.75" customHeight="1">
      <c r="A357" s="97"/>
      <c r="B357" s="97"/>
      <c r="C357" s="97"/>
      <c r="D357" s="97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</row>
    <row r="358" ht="15.75" customHeight="1">
      <c r="A358" s="97"/>
      <c r="B358" s="97"/>
      <c r="C358" s="97"/>
      <c r="D358" s="97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</row>
    <row r="359" ht="15.75" customHeight="1">
      <c r="A359" s="97"/>
      <c r="B359" s="97"/>
      <c r="C359" s="97"/>
      <c r="D359" s="97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</row>
    <row r="360" ht="15.75" customHeight="1">
      <c r="A360" s="97"/>
      <c r="B360" s="97"/>
      <c r="C360" s="97"/>
      <c r="D360" s="97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</row>
    <row r="361" ht="15.75" customHeight="1">
      <c r="A361" s="97"/>
      <c r="B361" s="97"/>
      <c r="C361" s="97"/>
      <c r="D361" s="97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</row>
    <row r="362" ht="15.75" customHeight="1">
      <c r="A362" s="97"/>
      <c r="B362" s="97"/>
      <c r="C362" s="97"/>
      <c r="D362" s="97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</row>
    <row r="363" ht="15.75" customHeight="1">
      <c r="A363" s="97"/>
      <c r="B363" s="97"/>
      <c r="C363" s="97"/>
      <c r="D363" s="97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</row>
    <row r="364" ht="15.75" customHeight="1">
      <c r="A364" s="97"/>
      <c r="B364" s="97"/>
      <c r="C364" s="97"/>
      <c r="D364" s="97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</row>
    <row r="365" ht="15.75" customHeight="1">
      <c r="A365" s="97"/>
      <c r="B365" s="97"/>
      <c r="C365" s="97"/>
      <c r="D365" s="97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</row>
    <row r="366" ht="15.75" customHeight="1">
      <c r="A366" s="97"/>
      <c r="B366" s="97"/>
      <c r="C366" s="97"/>
      <c r="D366" s="97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</row>
    <row r="367" ht="15.75" customHeight="1">
      <c r="A367" s="97"/>
      <c r="B367" s="97"/>
      <c r="C367" s="97"/>
      <c r="D367" s="97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</row>
    <row r="368" ht="15.75" customHeight="1">
      <c r="A368" s="97"/>
      <c r="B368" s="97"/>
      <c r="C368" s="97"/>
      <c r="D368" s="97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</row>
    <row r="369" ht="15.75" customHeight="1">
      <c r="A369" s="97"/>
      <c r="B369" s="97"/>
      <c r="C369" s="97"/>
      <c r="D369" s="97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</row>
    <row r="370" ht="15.75" customHeight="1">
      <c r="A370" s="97"/>
      <c r="B370" s="97"/>
      <c r="C370" s="97"/>
      <c r="D370" s="97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</row>
    <row r="371" ht="15.75" customHeight="1">
      <c r="A371" s="97"/>
      <c r="B371" s="97"/>
      <c r="C371" s="97"/>
      <c r="D371" s="97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</row>
    <row r="372" ht="15.75" customHeight="1">
      <c r="A372" s="97"/>
      <c r="B372" s="97"/>
      <c r="C372" s="97"/>
      <c r="D372" s="97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</row>
    <row r="373" ht="15.75" customHeight="1">
      <c r="A373" s="97"/>
      <c r="B373" s="97"/>
      <c r="C373" s="97"/>
      <c r="D373" s="97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</row>
    <row r="374" ht="15.75" customHeight="1">
      <c r="A374" s="97"/>
      <c r="B374" s="97"/>
      <c r="C374" s="97"/>
      <c r="D374" s="97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</row>
    <row r="375" ht="15.75" customHeight="1">
      <c r="A375" s="97"/>
      <c r="B375" s="97"/>
      <c r="C375" s="97"/>
      <c r="D375" s="97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</row>
    <row r="376" ht="15.75" customHeight="1">
      <c r="A376" s="97"/>
      <c r="B376" s="97"/>
      <c r="C376" s="97"/>
      <c r="D376" s="97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</row>
    <row r="377" ht="15.75" customHeight="1">
      <c r="A377" s="97"/>
      <c r="B377" s="97"/>
      <c r="C377" s="97"/>
      <c r="D377" s="97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</row>
    <row r="378" ht="15.75" customHeight="1">
      <c r="A378" s="97"/>
      <c r="B378" s="97"/>
      <c r="C378" s="97"/>
      <c r="D378" s="97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</row>
    <row r="379" ht="15.75" customHeight="1">
      <c r="A379" s="97"/>
      <c r="B379" s="97"/>
      <c r="C379" s="97"/>
      <c r="D379" s="97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</row>
    <row r="380" ht="15.75" customHeight="1">
      <c r="A380" s="97"/>
      <c r="B380" s="97"/>
      <c r="C380" s="97"/>
      <c r="D380" s="97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</row>
    <row r="381" ht="15.75" customHeight="1">
      <c r="A381" s="97"/>
      <c r="B381" s="97"/>
      <c r="C381" s="97"/>
      <c r="D381" s="97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</row>
    <row r="382" ht="15.75" customHeight="1">
      <c r="A382" s="97"/>
      <c r="B382" s="97"/>
      <c r="C382" s="97"/>
      <c r="D382" s="97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</row>
    <row r="383" ht="15.75" customHeight="1">
      <c r="A383" s="97"/>
      <c r="B383" s="97"/>
      <c r="C383" s="97"/>
      <c r="D383" s="97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</row>
    <row r="384" ht="15.75" customHeight="1">
      <c r="A384" s="97"/>
      <c r="B384" s="97"/>
      <c r="C384" s="97"/>
      <c r="D384" s="97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</row>
    <row r="385" ht="15.75" customHeight="1">
      <c r="A385" s="97"/>
      <c r="B385" s="97"/>
      <c r="C385" s="97"/>
      <c r="D385" s="97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</row>
    <row r="386" ht="15.75" customHeight="1">
      <c r="A386" s="97"/>
      <c r="B386" s="97"/>
      <c r="C386" s="97"/>
      <c r="D386" s="97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</row>
    <row r="387" ht="15.75" customHeight="1">
      <c r="A387" s="97"/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</row>
    <row r="388" ht="15.75" customHeight="1">
      <c r="A388" s="97"/>
      <c r="B388" s="97"/>
      <c r="C388" s="97"/>
      <c r="D388" s="97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</row>
    <row r="389" ht="15.75" customHeight="1">
      <c r="A389" s="97"/>
      <c r="B389" s="97"/>
      <c r="C389" s="97"/>
      <c r="D389" s="97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</row>
    <row r="390" ht="15.75" customHeight="1">
      <c r="A390" s="97"/>
      <c r="B390" s="97"/>
      <c r="C390" s="97"/>
      <c r="D390" s="97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</row>
    <row r="391" ht="15.75" customHeight="1">
      <c r="A391" s="97"/>
      <c r="B391" s="97"/>
      <c r="C391" s="97"/>
      <c r="D391" s="97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</row>
    <row r="392" ht="15.75" customHeight="1">
      <c r="A392" s="97"/>
      <c r="B392" s="97"/>
      <c r="C392" s="97"/>
      <c r="D392" s="97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</row>
    <row r="393" ht="15.75" customHeight="1">
      <c r="A393" s="97"/>
      <c r="B393" s="97"/>
      <c r="C393" s="97"/>
      <c r="D393" s="97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</row>
    <row r="394" ht="15.75" customHeight="1">
      <c r="A394" s="97"/>
      <c r="B394" s="97"/>
      <c r="C394" s="97"/>
      <c r="D394" s="97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</row>
    <row r="395" ht="15.75" customHeight="1">
      <c r="A395" s="97"/>
      <c r="B395" s="97"/>
      <c r="C395" s="97"/>
      <c r="D395" s="97"/>
      <c r="E395" s="97"/>
      <c r="F395" s="97"/>
      <c r="G395" s="97"/>
      <c r="H395" s="97"/>
      <c r="I395" s="97"/>
      <c r="J395" s="97"/>
      <c r="K395" s="97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97"/>
      <c r="W395" s="97"/>
      <c r="X395" s="97"/>
      <c r="Y395" s="97"/>
      <c r="Z395" s="97"/>
    </row>
    <row r="396" ht="15.75" customHeight="1">
      <c r="A396" s="97"/>
      <c r="B396" s="97"/>
      <c r="C396" s="97"/>
      <c r="D396" s="97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</row>
    <row r="397" ht="15.75" customHeight="1">
      <c r="A397" s="97"/>
      <c r="B397" s="97"/>
      <c r="C397" s="97"/>
      <c r="D397" s="97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</row>
    <row r="398" ht="15.75" customHeight="1">
      <c r="A398" s="97"/>
      <c r="B398" s="97"/>
      <c r="C398" s="97"/>
      <c r="D398" s="97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</row>
    <row r="399" ht="15.75" customHeight="1">
      <c r="A399" s="97"/>
      <c r="B399" s="97"/>
      <c r="C399" s="97"/>
      <c r="D399" s="97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</row>
    <row r="400" ht="15.75" customHeight="1">
      <c r="A400" s="97"/>
      <c r="B400" s="97"/>
      <c r="C400" s="97"/>
      <c r="D400" s="97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</row>
    <row r="401" ht="15.75" customHeight="1">
      <c r="A401" s="97"/>
      <c r="B401" s="97"/>
      <c r="C401" s="97"/>
      <c r="D401" s="97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</row>
    <row r="402" ht="15.75" customHeight="1">
      <c r="A402" s="97"/>
      <c r="B402" s="97"/>
      <c r="C402" s="97"/>
      <c r="D402" s="97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</row>
    <row r="403" ht="15.75" customHeight="1">
      <c r="A403" s="97"/>
      <c r="B403" s="97"/>
      <c r="C403" s="97"/>
      <c r="D403" s="97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</row>
    <row r="404" ht="15.75" customHeight="1">
      <c r="A404" s="97"/>
      <c r="B404" s="97"/>
      <c r="C404" s="97"/>
      <c r="D404" s="97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</row>
    <row r="405" ht="15.75" customHeight="1">
      <c r="A405" s="97"/>
      <c r="B405" s="97"/>
      <c r="C405" s="97"/>
      <c r="D405" s="97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</row>
    <row r="406" ht="15.75" customHeight="1">
      <c r="A406" s="97"/>
      <c r="B406" s="97"/>
      <c r="C406" s="97"/>
      <c r="D406" s="97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</row>
    <row r="407" ht="15.75" customHeight="1">
      <c r="A407" s="97"/>
      <c r="B407" s="97"/>
      <c r="C407" s="97"/>
      <c r="D407" s="97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</row>
    <row r="408" ht="15.75" customHeight="1">
      <c r="A408" s="97"/>
      <c r="B408" s="97"/>
      <c r="C408" s="97"/>
      <c r="D408" s="97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</row>
    <row r="409" ht="15.75" customHeight="1">
      <c r="A409" s="97"/>
      <c r="B409" s="97"/>
      <c r="C409" s="97"/>
      <c r="D409" s="97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</row>
    <row r="410" ht="15.75" customHeight="1">
      <c r="A410" s="97"/>
      <c r="B410" s="97"/>
      <c r="C410" s="97"/>
      <c r="D410" s="97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</row>
    <row r="411" ht="15.75" customHeight="1">
      <c r="A411" s="97"/>
      <c r="B411" s="97"/>
      <c r="C411" s="97"/>
      <c r="D411" s="97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</row>
    <row r="412" ht="15.75" customHeight="1">
      <c r="A412" s="97"/>
      <c r="B412" s="97"/>
      <c r="C412" s="97"/>
      <c r="D412" s="97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</row>
    <row r="413" ht="15.75" customHeight="1">
      <c r="A413" s="97"/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</row>
    <row r="414" ht="15.75" customHeight="1">
      <c r="A414" s="97"/>
      <c r="B414" s="97"/>
      <c r="C414" s="97"/>
      <c r="D414" s="97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</row>
    <row r="415" ht="15.75" customHeight="1">
      <c r="A415" s="97"/>
      <c r="B415" s="97"/>
      <c r="C415" s="97"/>
      <c r="D415" s="97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</row>
    <row r="416" ht="15.75" customHeight="1">
      <c r="A416" s="97"/>
      <c r="B416" s="97"/>
      <c r="C416" s="97"/>
      <c r="D416" s="97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</row>
    <row r="417" ht="15.75" customHeight="1">
      <c r="A417" s="97"/>
      <c r="B417" s="97"/>
      <c r="C417" s="97"/>
      <c r="D417" s="97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</row>
    <row r="418" ht="15.75" customHeight="1">
      <c r="A418" s="97"/>
      <c r="B418" s="97"/>
      <c r="C418" s="97"/>
      <c r="D418" s="97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</row>
    <row r="419" ht="15.75" customHeight="1">
      <c r="A419" s="97"/>
      <c r="B419" s="97"/>
      <c r="C419" s="97"/>
      <c r="D419" s="97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</row>
    <row r="420" ht="15.75" customHeight="1">
      <c r="A420" s="97"/>
      <c r="B420" s="97"/>
      <c r="C420" s="97"/>
      <c r="D420" s="97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</row>
    <row r="421" ht="15.75" customHeight="1">
      <c r="A421" s="97"/>
      <c r="B421" s="97"/>
      <c r="C421" s="97"/>
      <c r="D421" s="97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</row>
    <row r="422" ht="15.75" customHeight="1">
      <c r="A422" s="97"/>
      <c r="B422" s="97"/>
      <c r="C422" s="97"/>
      <c r="D422" s="97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</row>
    <row r="423" ht="15.75" customHeight="1">
      <c r="A423" s="97"/>
      <c r="B423" s="97"/>
      <c r="C423" s="97"/>
      <c r="D423" s="97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</row>
    <row r="424" ht="15.75" customHeight="1">
      <c r="A424" s="97"/>
      <c r="B424" s="97"/>
      <c r="C424" s="97"/>
      <c r="D424" s="97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</row>
    <row r="425" ht="15.75" customHeight="1">
      <c r="A425" s="97"/>
      <c r="B425" s="97"/>
      <c r="C425" s="97"/>
      <c r="D425" s="97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</row>
    <row r="426" ht="15.75" customHeight="1">
      <c r="A426" s="97"/>
      <c r="B426" s="97"/>
      <c r="C426" s="97"/>
      <c r="D426" s="97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</row>
    <row r="427" ht="15.75" customHeight="1">
      <c r="A427" s="97"/>
      <c r="B427" s="97"/>
      <c r="C427" s="97"/>
      <c r="D427" s="97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</row>
    <row r="428" ht="15.75" customHeight="1">
      <c r="A428" s="97"/>
      <c r="B428" s="97"/>
      <c r="C428" s="97"/>
      <c r="D428" s="97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</row>
    <row r="429" ht="15.75" customHeight="1">
      <c r="A429" s="97"/>
      <c r="B429" s="97"/>
      <c r="C429" s="97"/>
      <c r="D429" s="97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</row>
    <row r="430" ht="15.75" customHeight="1">
      <c r="A430" s="97"/>
      <c r="B430" s="97"/>
      <c r="C430" s="97"/>
      <c r="D430" s="97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</row>
    <row r="431" ht="15.75" customHeight="1">
      <c r="A431" s="97"/>
      <c r="B431" s="97"/>
      <c r="C431" s="97"/>
      <c r="D431" s="97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</row>
    <row r="432" ht="15.75" customHeight="1">
      <c r="A432" s="97"/>
      <c r="B432" s="97"/>
      <c r="C432" s="97"/>
      <c r="D432" s="97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</row>
    <row r="433" ht="15.75" customHeight="1">
      <c r="A433" s="97"/>
      <c r="B433" s="97"/>
      <c r="C433" s="97"/>
      <c r="D433" s="97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</row>
    <row r="434" ht="15.75" customHeight="1">
      <c r="A434" s="97"/>
      <c r="B434" s="97"/>
      <c r="C434" s="97"/>
      <c r="D434" s="97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</row>
    <row r="435" ht="15.75" customHeight="1">
      <c r="A435" s="97"/>
      <c r="B435" s="97"/>
      <c r="C435" s="97"/>
      <c r="D435" s="97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</row>
    <row r="436" ht="15.75" customHeight="1">
      <c r="A436" s="97"/>
      <c r="B436" s="97"/>
      <c r="C436" s="97"/>
      <c r="D436" s="97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</row>
    <row r="437" ht="15.75" customHeight="1">
      <c r="A437" s="97"/>
      <c r="B437" s="97"/>
      <c r="C437" s="97"/>
      <c r="D437" s="97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</row>
    <row r="438" ht="15.75" customHeight="1">
      <c r="A438" s="97"/>
      <c r="B438" s="97"/>
      <c r="C438" s="97"/>
      <c r="D438" s="97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</row>
    <row r="439" ht="15.75" customHeight="1">
      <c r="A439" s="97"/>
      <c r="B439" s="97"/>
      <c r="C439" s="97"/>
      <c r="D439" s="97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</row>
    <row r="440" ht="15.75" customHeight="1">
      <c r="A440" s="97"/>
      <c r="B440" s="97"/>
      <c r="C440" s="97"/>
      <c r="D440" s="97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</row>
    <row r="441" ht="15.75" customHeight="1">
      <c r="A441" s="97"/>
      <c r="B441" s="97"/>
      <c r="C441" s="97"/>
      <c r="D441" s="97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</row>
    <row r="442" ht="15.75" customHeight="1">
      <c r="A442" s="97"/>
      <c r="B442" s="97"/>
      <c r="C442" s="97"/>
      <c r="D442" s="97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</row>
    <row r="443" ht="15.75" customHeight="1">
      <c r="A443" s="97"/>
      <c r="B443" s="97"/>
      <c r="C443" s="97"/>
      <c r="D443" s="97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</row>
    <row r="444" ht="15.75" customHeight="1">
      <c r="A444" s="97"/>
      <c r="B444" s="97"/>
      <c r="C444" s="97"/>
      <c r="D444" s="97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</row>
    <row r="445" ht="15.75" customHeight="1">
      <c r="A445" s="97"/>
      <c r="B445" s="97"/>
      <c r="C445" s="97"/>
      <c r="D445" s="97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</row>
    <row r="446" ht="15.75" customHeight="1">
      <c r="A446" s="97"/>
      <c r="B446" s="97"/>
      <c r="C446" s="97"/>
      <c r="D446" s="97"/>
      <c r="E446" s="97"/>
      <c r="F446" s="97"/>
      <c r="G446" s="97"/>
      <c r="H446" s="97"/>
      <c r="I446" s="97"/>
      <c r="J446" s="97"/>
      <c r="K446" s="97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97"/>
      <c r="W446" s="97"/>
      <c r="X446" s="97"/>
      <c r="Y446" s="97"/>
      <c r="Z446" s="97"/>
    </row>
    <row r="447" ht="15.75" customHeight="1">
      <c r="A447" s="97"/>
      <c r="B447" s="97"/>
      <c r="C447" s="97"/>
      <c r="D447" s="97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</row>
    <row r="448" ht="15.75" customHeight="1">
      <c r="A448" s="97"/>
      <c r="B448" s="97"/>
      <c r="C448" s="97"/>
      <c r="D448" s="97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</row>
    <row r="449" ht="15.75" customHeight="1">
      <c r="A449" s="97"/>
      <c r="B449" s="97"/>
      <c r="C449" s="97"/>
      <c r="D449" s="97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</row>
    <row r="450" ht="15.75" customHeight="1">
      <c r="A450" s="97"/>
      <c r="B450" s="97"/>
      <c r="C450" s="97"/>
      <c r="D450" s="97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</row>
    <row r="451" ht="15.75" customHeight="1">
      <c r="A451" s="97"/>
      <c r="B451" s="97"/>
      <c r="C451" s="97"/>
      <c r="D451" s="97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</row>
    <row r="452" ht="15.75" customHeight="1">
      <c r="A452" s="97"/>
      <c r="B452" s="97"/>
      <c r="C452" s="97"/>
      <c r="D452" s="97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</row>
    <row r="453" ht="15.75" customHeight="1">
      <c r="A453" s="97"/>
      <c r="B453" s="97"/>
      <c r="C453" s="97"/>
      <c r="D453" s="97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</row>
    <row r="454" ht="15.75" customHeight="1">
      <c r="A454" s="97"/>
      <c r="B454" s="97"/>
      <c r="C454" s="97"/>
      <c r="D454" s="97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</row>
    <row r="455" ht="15.75" customHeight="1">
      <c r="A455" s="97"/>
      <c r="B455" s="97"/>
      <c r="C455" s="97"/>
      <c r="D455" s="97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</row>
    <row r="456" ht="15.75" customHeight="1">
      <c r="A456" s="97"/>
      <c r="B456" s="97"/>
      <c r="C456" s="97"/>
      <c r="D456" s="97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</row>
    <row r="457" ht="15.75" customHeight="1">
      <c r="A457" s="97"/>
      <c r="B457" s="97"/>
      <c r="C457" s="97"/>
      <c r="D457" s="97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</row>
    <row r="458" ht="15.75" customHeight="1">
      <c r="A458" s="97"/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</row>
    <row r="459" ht="15.75" customHeight="1">
      <c r="A459" s="97"/>
      <c r="B459" s="97"/>
      <c r="C459" s="97"/>
      <c r="D459" s="97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</row>
    <row r="460" ht="15.75" customHeight="1">
      <c r="A460" s="97"/>
      <c r="B460" s="97"/>
      <c r="C460" s="97"/>
      <c r="D460" s="97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</row>
    <row r="461" ht="15.75" customHeight="1">
      <c r="A461" s="97"/>
      <c r="B461" s="97"/>
      <c r="C461" s="97"/>
      <c r="D461" s="97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</row>
    <row r="462" ht="15.75" customHeight="1">
      <c r="A462" s="97"/>
      <c r="B462" s="97"/>
      <c r="C462" s="97"/>
      <c r="D462" s="97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</row>
    <row r="463" ht="15.75" customHeight="1">
      <c r="A463" s="97"/>
      <c r="B463" s="97"/>
      <c r="C463" s="97"/>
      <c r="D463" s="97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</row>
    <row r="464" ht="15.75" customHeight="1">
      <c r="A464" s="97"/>
      <c r="B464" s="97"/>
      <c r="C464" s="97"/>
      <c r="D464" s="97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</row>
    <row r="465" ht="15.75" customHeight="1">
      <c r="A465" s="97"/>
      <c r="B465" s="97"/>
      <c r="C465" s="97"/>
      <c r="D465" s="97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</row>
    <row r="466" ht="15.75" customHeight="1">
      <c r="A466" s="97"/>
      <c r="B466" s="97"/>
      <c r="C466" s="97"/>
      <c r="D466" s="97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</row>
    <row r="467" ht="15.75" customHeight="1">
      <c r="A467" s="97"/>
      <c r="B467" s="97"/>
      <c r="C467" s="97"/>
      <c r="D467" s="97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</row>
    <row r="468" ht="15.75" customHeight="1">
      <c r="A468" s="97"/>
      <c r="B468" s="97"/>
      <c r="C468" s="97"/>
      <c r="D468" s="97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</row>
    <row r="469" ht="15.75" customHeight="1">
      <c r="A469" s="97"/>
      <c r="B469" s="97"/>
      <c r="C469" s="97"/>
      <c r="D469" s="97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</row>
    <row r="470" ht="15.75" customHeight="1">
      <c r="A470" s="97"/>
      <c r="B470" s="97"/>
      <c r="C470" s="97"/>
      <c r="D470" s="97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</row>
    <row r="471" ht="15.75" customHeight="1">
      <c r="A471" s="97"/>
      <c r="B471" s="97"/>
      <c r="C471" s="97"/>
      <c r="D471" s="97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</row>
    <row r="472" ht="15.75" customHeight="1">
      <c r="A472" s="97"/>
      <c r="B472" s="97"/>
      <c r="C472" s="97"/>
      <c r="D472" s="97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</row>
    <row r="473" ht="15.75" customHeight="1">
      <c r="A473" s="97"/>
      <c r="B473" s="97"/>
      <c r="C473" s="97"/>
      <c r="D473" s="97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</row>
    <row r="474" ht="15.75" customHeight="1">
      <c r="A474" s="97"/>
      <c r="B474" s="97"/>
      <c r="C474" s="97"/>
      <c r="D474" s="97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</row>
    <row r="475" ht="15.75" customHeight="1">
      <c r="A475" s="97"/>
      <c r="B475" s="97"/>
      <c r="C475" s="97"/>
      <c r="D475" s="97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</row>
    <row r="476" ht="15.75" customHeight="1">
      <c r="A476" s="97"/>
      <c r="B476" s="97"/>
      <c r="C476" s="97"/>
      <c r="D476" s="97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</row>
    <row r="477" ht="15.75" customHeight="1">
      <c r="A477" s="97"/>
      <c r="B477" s="97"/>
      <c r="C477" s="97"/>
      <c r="D477" s="97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</row>
    <row r="478" ht="15.75" customHeight="1">
      <c r="A478" s="97"/>
      <c r="B478" s="97"/>
      <c r="C478" s="97"/>
      <c r="D478" s="97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</row>
    <row r="479" ht="15.75" customHeight="1">
      <c r="A479" s="97"/>
      <c r="B479" s="97"/>
      <c r="C479" s="97"/>
      <c r="D479" s="97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</row>
    <row r="480" ht="15.75" customHeight="1">
      <c r="A480" s="97"/>
      <c r="B480" s="97"/>
      <c r="C480" s="97"/>
      <c r="D480" s="97"/>
      <c r="E480" s="97"/>
      <c r="F480" s="97"/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</row>
    <row r="481" ht="15.75" customHeight="1">
      <c r="A481" s="97"/>
      <c r="B481" s="97"/>
      <c r="C481" s="97"/>
      <c r="D481" s="97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</row>
    <row r="482" ht="15.75" customHeight="1">
      <c r="A482" s="97"/>
      <c r="B482" s="97"/>
      <c r="C482" s="97"/>
      <c r="D482" s="97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</row>
    <row r="483" ht="15.75" customHeight="1">
      <c r="A483" s="97"/>
      <c r="B483" s="97"/>
      <c r="C483" s="97"/>
      <c r="D483" s="97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</row>
    <row r="484" ht="15.75" customHeight="1">
      <c r="A484" s="97"/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</row>
    <row r="485" ht="15.75" customHeight="1">
      <c r="A485" s="97"/>
      <c r="B485" s="97"/>
      <c r="C485" s="97"/>
      <c r="D485" s="97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</row>
    <row r="486" ht="15.75" customHeight="1">
      <c r="A486" s="97"/>
      <c r="B486" s="97"/>
      <c r="C486" s="97"/>
      <c r="D486" s="97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</row>
    <row r="487" ht="15.75" customHeight="1">
      <c r="A487" s="97"/>
      <c r="B487" s="97"/>
      <c r="C487" s="97"/>
      <c r="D487" s="97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</row>
    <row r="488" ht="15.75" customHeight="1">
      <c r="A488" s="97"/>
      <c r="B488" s="97"/>
      <c r="C488" s="97"/>
      <c r="D488" s="97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</row>
    <row r="489" ht="15.75" customHeight="1">
      <c r="A489" s="97"/>
      <c r="B489" s="97"/>
      <c r="C489" s="97"/>
      <c r="D489" s="97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</row>
    <row r="490" ht="15.75" customHeight="1">
      <c r="A490" s="97"/>
      <c r="B490" s="97"/>
      <c r="C490" s="97"/>
      <c r="D490" s="97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</row>
    <row r="491" ht="15.75" customHeight="1">
      <c r="A491" s="97"/>
      <c r="B491" s="97"/>
      <c r="C491" s="97"/>
      <c r="D491" s="97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</row>
    <row r="492" ht="15.75" customHeight="1">
      <c r="A492" s="97"/>
      <c r="B492" s="97"/>
      <c r="C492" s="97"/>
      <c r="D492" s="97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</row>
    <row r="493" ht="15.75" customHeight="1">
      <c r="A493" s="97"/>
      <c r="B493" s="97"/>
      <c r="C493" s="97"/>
      <c r="D493" s="97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</row>
    <row r="494" ht="15.75" customHeight="1">
      <c r="A494" s="97"/>
      <c r="B494" s="97"/>
      <c r="C494" s="97"/>
      <c r="D494" s="97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</row>
    <row r="495" ht="15.75" customHeight="1">
      <c r="A495" s="97"/>
      <c r="B495" s="97"/>
      <c r="C495" s="97"/>
      <c r="D495" s="97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</row>
    <row r="496" ht="15.75" customHeight="1">
      <c r="A496" s="97"/>
      <c r="B496" s="97"/>
      <c r="C496" s="97"/>
      <c r="D496" s="97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</row>
    <row r="497" ht="15.75" customHeight="1">
      <c r="A497" s="97"/>
      <c r="B497" s="97"/>
      <c r="C497" s="97"/>
      <c r="D497" s="97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</row>
    <row r="498" ht="15.75" customHeight="1">
      <c r="A498" s="97"/>
      <c r="B498" s="97"/>
      <c r="C498" s="97"/>
      <c r="D498" s="97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</row>
    <row r="499" ht="15.75" customHeight="1">
      <c r="A499" s="97"/>
      <c r="B499" s="97"/>
      <c r="C499" s="97"/>
      <c r="D499" s="97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</row>
    <row r="500" ht="15.75" customHeight="1">
      <c r="A500" s="97"/>
      <c r="B500" s="97"/>
      <c r="C500" s="97"/>
      <c r="D500" s="97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</row>
    <row r="501" ht="15.75" customHeight="1">
      <c r="A501" s="97"/>
      <c r="B501" s="97"/>
      <c r="C501" s="97"/>
      <c r="D501" s="97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</row>
    <row r="502" ht="15.75" customHeight="1">
      <c r="A502" s="97"/>
      <c r="B502" s="97"/>
      <c r="C502" s="97"/>
      <c r="D502" s="97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</row>
    <row r="503" ht="15.75" customHeight="1">
      <c r="A503" s="97"/>
      <c r="B503" s="97"/>
      <c r="C503" s="97"/>
      <c r="D503" s="97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</row>
    <row r="504" ht="15.75" customHeight="1">
      <c r="A504" s="97"/>
      <c r="B504" s="97"/>
      <c r="C504" s="97"/>
      <c r="D504" s="97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</row>
    <row r="505" ht="15.75" customHeight="1">
      <c r="A505" s="97"/>
      <c r="B505" s="97"/>
      <c r="C505" s="97"/>
      <c r="D505" s="97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</row>
    <row r="506" ht="15.75" customHeight="1">
      <c r="A506" s="97"/>
      <c r="B506" s="97"/>
      <c r="C506" s="97"/>
      <c r="D506" s="97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</row>
    <row r="507" ht="15.75" customHeight="1">
      <c r="A507" s="97"/>
      <c r="B507" s="97"/>
      <c r="C507" s="97"/>
      <c r="D507" s="97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</row>
    <row r="508" ht="15.75" customHeight="1">
      <c r="A508" s="97"/>
      <c r="B508" s="97"/>
      <c r="C508" s="97"/>
      <c r="D508" s="97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</row>
    <row r="509" ht="15.75" customHeight="1">
      <c r="A509" s="97"/>
      <c r="B509" s="97"/>
      <c r="C509" s="97"/>
      <c r="D509" s="97"/>
      <c r="E509" s="97"/>
      <c r="F509" s="97"/>
      <c r="G509" s="97"/>
      <c r="H509" s="97"/>
      <c r="I509" s="97"/>
      <c r="J509" s="97"/>
      <c r="K509" s="97"/>
      <c r="L509" s="97"/>
      <c r="M509" s="97"/>
      <c r="N509" s="97"/>
      <c r="O509" s="97"/>
      <c r="P509" s="97"/>
      <c r="Q509" s="97"/>
      <c r="R509" s="97"/>
      <c r="S509" s="97"/>
      <c r="T509" s="97"/>
      <c r="U509" s="97"/>
      <c r="V509" s="97"/>
      <c r="W509" s="97"/>
      <c r="X509" s="97"/>
      <c r="Y509" s="97"/>
      <c r="Z509" s="97"/>
    </row>
    <row r="510" ht="15.75" customHeight="1">
      <c r="A510" s="97"/>
      <c r="B510" s="97"/>
      <c r="C510" s="97"/>
      <c r="D510" s="97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</row>
    <row r="511" ht="15.75" customHeight="1">
      <c r="A511" s="97"/>
      <c r="B511" s="97"/>
      <c r="C511" s="97"/>
      <c r="D511" s="97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</row>
    <row r="512" ht="15.75" customHeight="1">
      <c r="A512" s="97"/>
      <c r="B512" s="97"/>
      <c r="C512" s="97"/>
      <c r="D512" s="97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</row>
    <row r="513" ht="15.75" customHeight="1">
      <c r="A513" s="97"/>
      <c r="B513" s="97"/>
      <c r="C513" s="97"/>
      <c r="D513" s="97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</row>
    <row r="514" ht="15.75" customHeight="1">
      <c r="A514" s="97"/>
      <c r="B514" s="97"/>
      <c r="C514" s="97"/>
      <c r="D514" s="97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</row>
    <row r="515" ht="15.75" customHeight="1">
      <c r="A515" s="97"/>
      <c r="B515" s="97"/>
      <c r="C515" s="97"/>
      <c r="D515" s="97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</row>
    <row r="516" ht="15.75" customHeight="1">
      <c r="A516" s="97"/>
      <c r="B516" s="97"/>
      <c r="C516" s="97"/>
      <c r="D516" s="97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</row>
    <row r="517" ht="15.75" customHeight="1">
      <c r="A517" s="97"/>
      <c r="B517" s="97"/>
      <c r="C517" s="97"/>
      <c r="D517" s="97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</row>
    <row r="518" ht="15.75" customHeight="1">
      <c r="A518" s="97"/>
      <c r="B518" s="97"/>
      <c r="C518" s="97"/>
      <c r="D518" s="97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</row>
    <row r="519" ht="15.75" customHeight="1">
      <c r="A519" s="97"/>
      <c r="B519" s="97"/>
      <c r="C519" s="97"/>
      <c r="D519" s="97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</row>
    <row r="520" ht="15.75" customHeight="1">
      <c r="A520" s="97"/>
      <c r="B520" s="97"/>
      <c r="C520" s="97"/>
      <c r="D520" s="97"/>
      <c r="E520" s="97"/>
      <c r="F520" s="97"/>
      <c r="G520" s="97"/>
      <c r="H520" s="97"/>
      <c r="I520" s="97"/>
      <c r="J520" s="97"/>
      <c r="K520" s="97"/>
      <c r="L520" s="97"/>
      <c r="M520" s="97"/>
      <c r="N520" s="97"/>
      <c r="O520" s="97"/>
      <c r="P520" s="97"/>
      <c r="Q520" s="97"/>
      <c r="R520" s="97"/>
      <c r="S520" s="97"/>
      <c r="T520" s="97"/>
      <c r="U520" s="97"/>
      <c r="V520" s="97"/>
      <c r="W520" s="97"/>
      <c r="X520" s="97"/>
      <c r="Y520" s="97"/>
      <c r="Z520" s="97"/>
    </row>
    <row r="521" ht="15.75" customHeight="1">
      <c r="A521" s="97"/>
      <c r="B521" s="97"/>
      <c r="C521" s="97"/>
      <c r="D521" s="97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</row>
    <row r="522" ht="15.75" customHeight="1">
      <c r="A522" s="97"/>
      <c r="B522" s="97"/>
      <c r="C522" s="97"/>
      <c r="D522" s="97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</row>
    <row r="523" ht="15.75" customHeight="1">
      <c r="A523" s="97"/>
      <c r="B523" s="97"/>
      <c r="C523" s="97"/>
      <c r="D523" s="97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</row>
    <row r="524" ht="15.75" customHeight="1">
      <c r="A524" s="97"/>
      <c r="B524" s="97"/>
      <c r="C524" s="97"/>
      <c r="D524" s="97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</row>
    <row r="525" ht="15.75" customHeight="1">
      <c r="A525" s="97"/>
      <c r="B525" s="97"/>
      <c r="C525" s="97"/>
      <c r="D525" s="97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</row>
    <row r="526" ht="15.75" customHeight="1">
      <c r="A526" s="97"/>
      <c r="B526" s="97"/>
      <c r="C526" s="97"/>
      <c r="D526" s="97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</row>
    <row r="527" ht="15.75" customHeight="1">
      <c r="A527" s="97"/>
      <c r="B527" s="97"/>
      <c r="C527" s="97"/>
      <c r="D527" s="97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</row>
    <row r="528" ht="15.75" customHeight="1">
      <c r="A528" s="97"/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</row>
    <row r="529" ht="15.75" customHeight="1">
      <c r="A529" s="97"/>
      <c r="B529" s="97"/>
      <c r="C529" s="97"/>
      <c r="D529" s="97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</row>
    <row r="530" ht="15.75" customHeight="1">
      <c r="A530" s="97"/>
      <c r="B530" s="97"/>
      <c r="C530" s="97"/>
      <c r="D530" s="97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</row>
    <row r="531" ht="15.75" customHeight="1">
      <c r="A531" s="97"/>
      <c r="B531" s="97"/>
      <c r="C531" s="97"/>
      <c r="D531" s="97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</row>
    <row r="532" ht="15.75" customHeight="1">
      <c r="A532" s="97"/>
      <c r="B532" s="97"/>
      <c r="C532" s="97"/>
      <c r="D532" s="97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</row>
    <row r="533" ht="15.75" customHeight="1">
      <c r="A533" s="97"/>
      <c r="B533" s="97"/>
      <c r="C533" s="97"/>
      <c r="D533" s="97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</row>
    <row r="534" ht="15.75" customHeight="1">
      <c r="A534" s="97"/>
      <c r="B534" s="97"/>
      <c r="C534" s="97"/>
      <c r="D534" s="97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</row>
    <row r="535" ht="15.75" customHeight="1">
      <c r="A535" s="97"/>
      <c r="B535" s="97"/>
      <c r="C535" s="97"/>
      <c r="D535" s="97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</row>
    <row r="536" ht="15.75" customHeight="1">
      <c r="A536" s="97"/>
      <c r="B536" s="97"/>
      <c r="C536" s="97"/>
      <c r="D536" s="97"/>
      <c r="E536" s="97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</row>
    <row r="537" ht="15.75" customHeight="1">
      <c r="A537" s="97"/>
      <c r="B537" s="97"/>
      <c r="C537" s="97"/>
      <c r="D537" s="97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</row>
    <row r="538" ht="15.75" customHeight="1">
      <c r="A538" s="97"/>
      <c r="B538" s="97"/>
      <c r="C538" s="97"/>
      <c r="D538" s="97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</row>
    <row r="539" ht="15.75" customHeight="1">
      <c r="A539" s="97"/>
      <c r="B539" s="97"/>
      <c r="C539" s="97"/>
      <c r="D539" s="97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</row>
    <row r="540" ht="15.75" customHeight="1">
      <c r="A540" s="97"/>
      <c r="B540" s="97"/>
      <c r="C540" s="97"/>
      <c r="D540" s="97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</row>
    <row r="541" ht="15.75" customHeight="1">
      <c r="A541" s="97"/>
      <c r="B541" s="97"/>
      <c r="C541" s="97"/>
      <c r="D541" s="97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</row>
    <row r="542" ht="15.75" customHeight="1">
      <c r="A542" s="97"/>
      <c r="B542" s="97"/>
      <c r="C542" s="97"/>
      <c r="D542" s="97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</row>
    <row r="543" ht="15.75" customHeight="1">
      <c r="A543" s="97"/>
      <c r="B543" s="97"/>
      <c r="C543" s="97"/>
      <c r="D543" s="97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</row>
    <row r="544" ht="15.75" customHeight="1">
      <c r="A544" s="97"/>
      <c r="B544" s="97"/>
      <c r="C544" s="97"/>
      <c r="D544" s="97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</row>
    <row r="545" ht="15.75" customHeight="1">
      <c r="A545" s="97"/>
      <c r="B545" s="97"/>
      <c r="C545" s="97"/>
      <c r="D545" s="97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</row>
    <row r="546" ht="15.75" customHeight="1">
      <c r="A546" s="97"/>
      <c r="B546" s="97"/>
      <c r="C546" s="97"/>
      <c r="D546" s="97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</row>
    <row r="547" ht="15.75" customHeight="1">
      <c r="A547" s="97"/>
      <c r="B547" s="97"/>
      <c r="C547" s="97"/>
      <c r="D547" s="97"/>
      <c r="E547" s="97"/>
      <c r="F547" s="97"/>
      <c r="G547" s="97"/>
      <c r="H547" s="97"/>
      <c r="I547" s="97"/>
      <c r="J547" s="97"/>
      <c r="K547" s="97"/>
      <c r="L547" s="97"/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</row>
    <row r="548" ht="15.75" customHeight="1">
      <c r="A548" s="97"/>
      <c r="B548" s="97"/>
      <c r="C548" s="97"/>
      <c r="D548" s="97"/>
      <c r="E548" s="97"/>
      <c r="F548" s="97"/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</row>
    <row r="549" ht="15.75" customHeight="1">
      <c r="A549" s="97"/>
      <c r="B549" s="97"/>
      <c r="C549" s="97"/>
      <c r="D549" s="97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</row>
    <row r="550" ht="15.75" customHeight="1">
      <c r="A550" s="97"/>
      <c r="B550" s="97"/>
      <c r="C550" s="97"/>
      <c r="D550" s="97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</row>
    <row r="551" ht="15.75" customHeight="1">
      <c r="A551" s="97"/>
      <c r="B551" s="97"/>
      <c r="C551" s="97"/>
      <c r="D551" s="97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</row>
    <row r="552" ht="15.75" customHeight="1">
      <c r="A552" s="97"/>
      <c r="B552" s="97"/>
      <c r="C552" s="97"/>
      <c r="D552" s="97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</row>
    <row r="553" ht="15.75" customHeight="1">
      <c r="A553" s="97"/>
      <c r="B553" s="97"/>
      <c r="C553" s="97"/>
      <c r="D553" s="97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</row>
    <row r="554" ht="15.75" customHeight="1">
      <c r="A554" s="97"/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</row>
    <row r="555" ht="15.75" customHeight="1">
      <c r="A555" s="97"/>
      <c r="B555" s="97"/>
      <c r="C555" s="97"/>
      <c r="D555" s="97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</row>
    <row r="556" ht="15.75" customHeight="1">
      <c r="A556" s="97"/>
      <c r="B556" s="97"/>
      <c r="C556" s="97"/>
      <c r="D556" s="97"/>
      <c r="E556" s="97"/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</row>
    <row r="557" ht="15.75" customHeight="1">
      <c r="A557" s="97"/>
      <c r="B557" s="97"/>
      <c r="C557" s="97"/>
      <c r="D557" s="97"/>
      <c r="E557" s="97"/>
      <c r="F557" s="97"/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</row>
    <row r="558" ht="15.75" customHeight="1">
      <c r="A558" s="97"/>
      <c r="B558" s="97"/>
      <c r="C558" s="97"/>
      <c r="D558" s="97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</row>
    <row r="559" ht="15.75" customHeight="1">
      <c r="A559" s="97"/>
      <c r="B559" s="97"/>
      <c r="C559" s="97"/>
      <c r="D559" s="97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</row>
    <row r="560" ht="15.75" customHeight="1">
      <c r="A560" s="97"/>
      <c r="B560" s="97"/>
      <c r="C560" s="97"/>
      <c r="D560" s="97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</row>
    <row r="561" ht="15.75" customHeight="1">
      <c r="A561" s="97"/>
      <c r="B561" s="97"/>
      <c r="C561" s="97"/>
      <c r="D561" s="97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</row>
    <row r="562" ht="15.75" customHeight="1">
      <c r="A562" s="97"/>
      <c r="B562" s="97"/>
      <c r="C562" s="97"/>
      <c r="D562" s="97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</row>
    <row r="563" ht="15.75" customHeight="1">
      <c r="A563" s="97"/>
      <c r="B563" s="97"/>
      <c r="C563" s="97"/>
      <c r="D563" s="97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</row>
    <row r="564" ht="15.75" customHeight="1">
      <c r="A564" s="97"/>
      <c r="B564" s="97"/>
      <c r="C564" s="97"/>
      <c r="D564" s="97"/>
      <c r="E564" s="97"/>
      <c r="F564" s="97"/>
      <c r="G564" s="97"/>
      <c r="H564" s="97"/>
      <c r="I564" s="97"/>
      <c r="J564" s="97"/>
      <c r="K564" s="97"/>
      <c r="L564" s="97"/>
      <c r="M564" s="97"/>
      <c r="N564" s="97"/>
      <c r="O564" s="97"/>
      <c r="P564" s="97"/>
      <c r="Q564" s="97"/>
      <c r="R564" s="97"/>
      <c r="S564" s="97"/>
      <c r="T564" s="97"/>
      <c r="U564" s="97"/>
      <c r="V564" s="97"/>
      <c r="W564" s="97"/>
      <c r="X564" s="97"/>
      <c r="Y564" s="97"/>
      <c r="Z564" s="97"/>
    </row>
    <row r="565" ht="15.75" customHeight="1">
      <c r="A565" s="97"/>
      <c r="B565" s="97"/>
      <c r="C565" s="97"/>
      <c r="D565" s="97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</row>
    <row r="566" ht="15.75" customHeight="1">
      <c r="A566" s="97"/>
      <c r="B566" s="97"/>
      <c r="C566" s="97"/>
      <c r="D566" s="97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</row>
    <row r="567" ht="15.75" customHeight="1">
      <c r="A567" s="97"/>
      <c r="B567" s="97"/>
      <c r="C567" s="97"/>
      <c r="D567" s="97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</row>
    <row r="568" ht="15.75" customHeight="1">
      <c r="A568" s="97"/>
      <c r="B568" s="97"/>
      <c r="C568" s="97"/>
      <c r="D568" s="97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</row>
    <row r="569" ht="15.75" customHeight="1">
      <c r="A569" s="97"/>
      <c r="B569" s="97"/>
      <c r="C569" s="97"/>
      <c r="D569" s="97"/>
      <c r="E569" s="97"/>
      <c r="F569" s="97"/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</row>
    <row r="570" ht="15.75" customHeight="1">
      <c r="A570" s="97"/>
      <c r="B570" s="97"/>
      <c r="C570" s="97"/>
      <c r="D570" s="97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</row>
    <row r="571" ht="15.75" customHeight="1">
      <c r="A571" s="97"/>
      <c r="B571" s="97"/>
      <c r="C571" s="97"/>
      <c r="D571" s="97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</row>
    <row r="572" ht="15.75" customHeight="1">
      <c r="A572" s="97"/>
      <c r="B572" s="97"/>
      <c r="C572" s="97"/>
      <c r="D572" s="97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</row>
    <row r="573" ht="15.75" customHeight="1">
      <c r="A573" s="97"/>
      <c r="B573" s="97"/>
      <c r="C573" s="97"/>
      <c r="D573" s="97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</row>
    <row r="574" ht="15.75" customHeight="1">
      <c r="A574" s="97"/>
      <c r="B574" s="97"/>
      <c r="C574" s="97"/>
      <c r="D574" s="97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</row>
    <row r="575" ht="15.75" customHeight="1">
      <c r="A575" s="97"/>
      <c r="B575" s="97"/>
      <c r="C575" s="97"/>
      <c r="D575" s="97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</row>
    <row r="576" ht="15.75" customHeight="1">
      <c r="A576" s="97"/>
      <c r="B576" s="97"/>
      <c r="C576" s="97"/>
      <c r="D576" s="97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</row>
    <row r="577" ht="15.75" customHeight="1">
      <c r="A577" s="97"/>
      <c r="B577" s="97"/>
      <c r="C577" s="97"/>
      <c r="D577" s="97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</row>
    <row r="578" ht="15.75" customHeight="1">
      <c r="A578" s="97"/>
      <c r="B578" s="97"/>
      <c r="C578" s="97"/>
      <c r="D578" s="97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</row>
    <row r="579" ht="15.75" customHeight="1">
      <c r="A579" s="97"/>
      <c r="B579" s="97"/>
      <c r="C579" s="97"/>
      <c r="D579" s="97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</row>
    <row r="580" ht="15.75" customHeight="1">
      <c r="A580" s="97"/>
      <c r="B580" s="97"/>
      <c r="C580" s="97"/>
      <c r="D580" s="97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</row>
    <row r="581" ht="15.75" customHeight="1">
      <c r="A581" s="97"/>
      <c r="B581" s="97"/>
      <c r="C581" s="97"/>
      <c r="D581" s="97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</row>
    <row r="582" ht="15.75" customHeight="1">
      <c r="A582" s="97"/>
      <c r="B582" s="97"/>
      <c r="C582" s="97"/>
      <c r="D582" s="97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</row>
    <row r="583" ht="15.75" customHeight="1">
      <c r="A583" s="97"/>
      <c r="B583" s="97"/>
      <c r="C583" s="97"/>
      <c r="D583" s="97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</row>
    <row r="584" ht="15.75" customHeight="1">
      <c r="A584" s="97"/>
      <c r="B584" s="97"/>
      <c r="C584" s="97"/>
      <c r="D584" s="97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</row>
    <row r="585" ht="15.75" customHeight="1">
      <c r="A585" s="97"/>
      <c r="B585" s="97"/>
      <c r="C585" s="97"/>
      <c r="D585" s="97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</row>
    <row r="586" ht="15.75" customHeight="1">
      <c r="A586" s="97"/>
      <c r="B586" s="97"/>
      <c r="C586" s="97"/>
      <c r="D586" s="97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</row>
    <row r="587" ht="15.75" customHeight="1">
      <c r="A587" s="97"/>
      <c r="B587" s="97"/>
      <c r="C587" s="97"/>
      <c r="D587" s="97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</row>
    <row r="588" ht="15.75" customHeight="1">
      <c r="A588" s="97"/>
      <c r="B588" s="97"/>
      <c r="C588" s="97"/>
      <c r="D588" s="97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</row>
    <row r="589" ht="15.75" customHeight="1">
      <c r="A589" s="97"/>
      <c r="B589" s="97"/>
      <c r="C589" s="97"/>
      <c r="D589" s="97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</row>
    <row r="590" ht="15.75" customHeight="1">
      <c r="A590" s="97"/>
      <c r="B590" s="97"/>
      <c r="C590" s="97"/>
      <c r="D590" s="97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</row>
    <row r="591" ht="15.75" customHeight="1">
      <c r="A591" s="97"/>
      <c r="B591" s="97"/>
      <c r="C591" s="97"/>
      <c r="D591" s="97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</row>
    <row r="592" ht="15.75" customHeight="1">
      <c r="A592" s="97"/>
      <c r="B592" s="97"/>
      <c r="C592" s="97"/>
      <c r="D592" s="97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</row>
    <row r="593" ht="15.75" customHeight="1">
      <c r="A593" s="97"/>
      <c r="B593" s="97"/>
      <c r="C593" s="97"/>
      <c r="D593" s="97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</row>
    <row r="594" ht="15.75" customHeight="1">
      <c r="A594" s="97"/>
      <c r="B594" s="97"/>
      <c r="C594" s="97"/>
      <c r="D594" s="97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</row>
    <row r="595" ht="15.75" customHeight="1">
      <c r="A595" s="97"/>
      <c r="B595" s="97"/>
      <c r="C595" s="97"/>
      <c r="D595" s="97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</row>
    <row r="596" ht="15.75" customHeight="1">
      <c r="A596" s="97"/>
      <c r="B596" s="97"/>
      <c r="C596" s="97"/>
      <c r="D596" s="97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</row>
    <row r="597" ht="15.75" customHeight="1">
      <c r="A597" s="97"/>
      <c r="B597" s="97"/>
      <c r="C597" s="97"/>
      <c r="D597" s="97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</row>
    <row r="598" ht="15.75" customHeight="1">
      <c r="A598" s="97"/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</row>
    <row r="599" ht="15.75" customHeight="1">
      <c r="A599" s="97"/>
      <c r="B599" s="97"/>
      <c r="C599" s="97"/>
      <c r="D599" s="97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</row>
    <row r="600" ht="15.75" customHeight="1">
      <c r="A600" s="97"/>
      <c r="B600" s="97"/>
      <c r="C600" s="97"/>
      <c r="D600" s="97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</row>
    <row r="601" ht="15.75" customHeight="1">
      <c r="A601" s="97"/>
      <c r="B601" s="97"/>
      <c r="C601" s="97"/>
      <c r="D601" s="97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</row>
    <row r="602" ht="15.75" customHeight="1">
      <c r="A602" s="97"/>
      <c r="B602" s="97"/>
      <c r="C602" s="97"/>
      <c r="D602" s="97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</row>
    <row r="603" ht="15.75" customHeight="1">
      <c r="A603" s="97"/>
      <c r="B603" s="97"/>
      <c r="C603" s="97"/>
      <c r="D603" s="97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</row>
    <row r="604" ht="15.75" customHeight="1">
      <c r="A604" s="97"/>
      <c r="B604" s="97"/>
      <c r="C604" s="97"/>
      <c r="D604" s="97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</row>
    <row r="605" ht="15.75" customHeight="1">
      <c r="A605" s="97"/>
      <c r="B605" s="97"/>
      <c r="C605" s="97"/>
      <c r="D605" s="97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</row>
    <row r="606" ht="15.75" customHeight="1">
      <c r="A606" s="97"/>
      <c r="B606" s="97"/>
      <c r="C606" s="97"/>
      <c r="D606" s="97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</row>
    <row r="607" ht="15.75" customHeight="1">
      <c r="A607" s="97"/>
      <c r="B607" s="97"/>
      <c r="C607" s="97"/>
      <c r="D607" s="97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</row>
    <row r="608" ht="15.75" customHeight="1">
      <c r="A608" s="97"/>
      <c r="B608" s="97"/>
      <c r="C608" s="97"/>
      <c r="D608" s="97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</row>
    <row r="609" ht="15.75" customHeight="1">
      <c r="A609" s="97"/>
      <c r="B609" s="97"/>
      <c r="C609" s="97"/>
      <c r="D609" s="97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</row>
    <row r="610" ht="15.75" customHeight="1">
      <c r="A610" s="97"/>
      <c r="B610" s="97"/>
      <c r="C610" s="97"/>
      <c r="D610" s="97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</row>
    <row r="611" ht="15.75" customHeight="1">
      <c r="A611" s="97"/>
      <c r="B611" s="97"/>
      <c r="C611" s="97"/>
      <c r="D611" s="97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</row>
    <row r="612" ht="15.75" customHeight="1">
      <c r="A612" s="97"/>
      <c r="B612" s="97"/>
      <c r="C612" s="97"/>
      <c r="D612" s="97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</row>
    <row r="613" ht="15.75" customHeight="1">
      <c r="A613" s="97"/>
      <c r="B613" s="97"/>
      <c r="C613" s="97"/>
      <c r="D613" s="97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</row>
    <row r="614" ht="15.75" customHeight="1">
      <c r="A614" s="97"/>
      <c r="B614" s="97"/>
      <c r="C614" s="97"/>
      <c r="D614" s="97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</row>
    <row r="615" ht="15.75" customHeight="1">
      <c r="A615" s="97"/>
      <c r="B615" s="97"/>
      <c r="C615" s="97"/>
      <c r="D615" s="97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</row>
    <row r="616" ht="15.75" customHeight="1">
      <c r="A616" s="97"/>
      <c r="B616" s="97"/>
      <c r="C616" s="97"/>
      <c r="D616" s="97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</row>
    <row r="617" ht="15.75" customHeight="1">
      <c r="A617" s="97"/>
      <c r="B617" s="97"/>
      <c r="C617" s="97"/>
      <c r="D617" s="97"/>
      <c r="E617" s="97"/>
      <c r="F617" s="97"/>
      <c r="G617" s="97"/>
      <c r="H617" s="97"/>
      <c r="I617" s="97"/>
      <c r="J617" s="97"/>
      <c r="K617" s="97"/>
      <c r="L617" s="97"/>
      <c r="M617" s="97"/>
      <c r="N617" s="97"/>
      <c r="O617" s="97"/>
      <c r="P617" s="97"/>
      <c r="Q617" s="97"/>
      <c r="R617" s="97"/>
      <c r="S617" s="97"/>
      <c r="T617" s="97"/>
      <c r="U617" s="97"/>
      <c r="V617" s="97"/>
      <c r="W617" s="97"/>
      <c r="X617" s="97"/>
      <c r="Y617" s="97"/>
      <c r="Z617" s="97"/>
    </row>
    <row r="618" ht="15.75" customHeight="1">
      <c r="A618" s="97"/>
      <c r="B618" s="97"/>
      <c r="C618" s="97"/>
      <c r="D618" s="97"/>
      <c r="E618" s="97"/>
      <c r="F618" s="97"/>
      <c r="G618" s="97"/>
      <c r="H618" s="97"/>
      <c r="I618" s="97"/>
      <c r="J618" s="97"/>
      <c r="K618" s="97"/>
      <c r="L618" s="97"/>
      <c r="M618" s="97"/>
      <c r="N618" s="97"/>
      <c r="O618" s="97"/>
      <c r="P618" s="97"/>
      <c r="Q618" s="97"/>
      <c r="R618" s="97"/>
      <c r="S618" s="97"/>
      <c r="T618" s="97"/>
      <c r="U618" s="97"/>
      <c r="V618" s="97"/>
      <c r="W618" s="97"/>
      <c r="X618" s="97"/>
      <c r="Y618" s="97"/>
      <c r="Z618" s="97"/>
    </row>
    <row r="619" ht="15.75" customHeight="1">
      <c r="A619" s="97"/>
      <c r="B619" s="97"/>
      <c r="C619" s="97"/>
      <c r="D619" s="97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</row>
    <row r="620" ht="15.75" customHeight="1">
      <c r="A620" s="97"/>
      <c r="B620" s="97"/>
      <c r="C620" s="97"/>
      <c r="D620" s="97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</row>
    <row r="621" ht="15.75" customHeight="1">
      <c r="A621" s="97"/>
      <c r="B621" s="97"/>
      <c r="C621" s="97"/>
      <c r="D621" s="97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</row>
    <row r="622" ht="15.75" customHeight="1">
      <c r="A622" s="97"/>
      <c r="B622" s="97"/>
      <c r="C622" s="97"/>
      <c r="D622" s="97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</row>
    <row r="623" ht="15.75" customHeight="1">
      <c r="A623" s="97"/>
      <c r="B623" s="97"/>
      <c r="C623" s="97"/>
      <c r="D623" s="97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</row>
    <row r="624" ht="15.75" customHeight="1">
      <c r="A624" s="97"/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</row>
    <row r="625" ht="15.75" customHeight="1">
      <c r="A625" s="97"/>
      <c r="B625" s="97"/>
      <c r="C625" s="97"/>
      <c r="D625" s="97"/>
      <c r="E625" s="97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</row>
    <row r="626" ht="15.75" customHeight="1">
      <c r="A626" s="97"/>
      <c r="B626" s="97"/>
      <c r="C626" s="97"/>
      <c r="D626" s="97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</row>
    <row r="627" ht="15.75" customHeight="1">
      <c r="A627" s="97"/>
      <c r="B627" s="97"/>
      <c r="C627" s="97"/>
      <c r="D627" s="97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</row>
    <row r="628" ht="15.75" customHeight="1">
      <c r="A628" s="97"/>
      <c r="B628" s="97"/>
      <c r="C628" s="97"/>
      <c r="D628" s="97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</row>
    <row r="629" ht="15.75" customHeight="1">
      <c r="A629" s="97"/>
      <c r="B629" s="97"/>
      <c r="C629" s="97"/>
      <c r="D629" s="97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</row>
    <row r="630" ht="15.75" customHeight="1">
      <c r="A630" s="97"/>
      <c r="B630" s="97"/>
      <c r="C630" s="97"/>
      <c r="D630" s="97"/>
      <c r="E630" s="97"/>
      <c r="F630" s="97"/>
      <c r="G630" s="97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7"/>
      <c r="U630" s="97"/>
      <c r="V630" s="97"/>
      <c r="W630" s="97"/>
      <c r="X630" s="97"/>
      <c r="Y630" s="97"/>
      <c r="Z630" s="97"/>
    </row>
    <row r="631" ht="15.75" customHeight="1">
      <c r="A631" s="97"/>
      <c r="B631" s="97"/>
      <c r="C631" s="97"/>
      <c r="D631" s="97"/>
      <c r="E631" s="97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</row>
    <row r="632" ht="15.75" customHeight="1">
      <c r="A632" s="97"/>
      <c r="B632" s="97"/>
      <c r="C632" s="97"/>
      <c r="D632" s="97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</row>
    <row r="633" ht="15.75" customHeight="1">
      <c r="A633" s="97"/>
      <c r="B633" s="97"/>
      <c r="C633" s="97"/>
      <c r="D633" s="97"/>
      <c r="E633" s="97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</row>
    <row r="634" ht="15.75" customHeight="1">
      <c r="A634" s="97"/>
      <c r="B634" s="97"/>
      <c r="C634" s="97"/>
      <c r="D634" s="97"/>
      <c r="E634" s="97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</row>
    <row r="635" ht="15.75" customHeight="1">
      <c r="A635" s="97"/>
      <c r="B635" s="97"/>
      <c r="C635" s="97"/>
      <c r="D635" s="97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</row>
    <row r="636" ht="15.75" customHeight="1">
      <c r="A636" s="97"/>
      <c r="B636" s="97"/>
      <c r="C636" s="97"/>
      <c r="D636" s="97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</row>
    <row r="637" ht="15.75" customHeight="1">
      <c r="A637" s="97"/>
      <c r="B637" s="97"/>
      <c r="C637" s="97"/>
      <c r="D637" s="97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</row>
    <row r="638" ht="15.75" customHeight="1">
      <c r="A638" s="97"/>
      <c r="B638" s="97"/>
      <c r="C638" s="97"/>
      <c r="D638" s="97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</row>
    <row r="639" ht="15.75" customHeight="1">
      <c r="A639" s="97"/>
      <c r="B639" s="97"/>
      <c r="C639" s="97"/>
      <c r="D639" s="97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</row>
    <row r="640" ht="15.75" customHeight="1">
      <c r="A640" s="97"/>
      <c r="B640" s="97"/>
      <c r="C640" s="97"/>
      <c r="D640" s="97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</row>
    <row r="641" ht="15.75" customHeight="1">
      <c r="A641" s="97"/>
      <c r="B641" s="97"/>
      <c r="C641" s="97"/>
      <c r="D641" s="97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</row>
    <row r="642" ht="15.75" customHeight="1">
      <c r="A642" s="97"/>
      <c r="B642" s="97"/>
      <c r="C642" s="97"/>
      <c r="D642" s="97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</row>
    <row r="643" ht="15.75" customHeight="1">
      <c r="A643" s="97"/>
      <c r="B643" s="97"/>
      <c r="C643" s="97"/>
      <c r="D643" s="97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</row>
    <row r="644" ht="15.75" customHeight="1">
      <c r="A644" s="97"/>
      <c r="B644" s="97"/>
      <c r="C644" s="97"/>
      <c r="D644" s="97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</row>
    <row r="645" ht="15.75" customHeight="1">
      <c r="A645" s="97"/>
      <c r="B645" s="97"/>
      <c r="C645" s="97"/>
      <c r="D645" s="97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</row>
    <row r="646" ht="15.75" customHeight="1">
      <c r="A646" s="97"/>
      <c r="B646" s="97"/>
      <c r="C646" s="97"/>
      <c r="D646" s="97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</row>
    <row r="647" ht="15.75" customHeight="1">
      <c r="A647" s="97"/>
      <c r="B647" s="97"/>
      <c r="C647" s="97"/>
      <c r="D647" s="97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</row>
    <row r="648" ht="15.75" customHeight="1">
      <c r="A648" s="97"/>
      <c r="B648" s="97"/>
      <c r="C648" s="97"/>
      <c r="D648" s="97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</row>
    <row r="649" ht="15.75" customHeight="1">
      <c r="A649" s="97"/>
      <c r="B649" s="97"/>
      <c r="C649" s="97"/>
      <c r="D649" s="97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</row>
    <row r="650" ht="15.75" customHeight="1">
      <c r="A650" s="97"/>
      <c r="B650" s="97"/>
      <c r="C650" s="97"/>
      <c r="D650" s="97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</row>
    <row r="651" ht="15.75" customHeight="1">
      <c r="A651" s="97"/>
      <c r="B651" s="97"/>
      <c r="C651" s="97"/>
      <c r="D651" s="97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</row>
    <row r="652" ht="15.75" customHeight="1">
      <c r="A652" s="97"/>
      <c r="B652" s="97"/>
      <c r="C652" s="97"/>
      <c r="D652" s="97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</row>
    <row r="653" ht="15.75" customHeight="1">
      <c r="A653" s="97"/>
      <c r="B653" s="97"/>
      <c r="C653" s="97"/>
      <c r="D653" s="97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</row>
    <row r="654" ht="15.75" customHeight="1">
      <c r="A654" s="97"/>
      <c r="B654" s="97"/>
      <c r="C654" s="97"/>
      <c r="D654" s="97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</row>
    <row r="655" ht="15.75" customHeight="1">
      <c r="A655" s="97"/>
      <c r="B655" s="97"/>
      <c r="C655" s="97"/>
      <c r="D655" s="97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</row>
    <row r="656" ht="15.75" customHeight="1">
      <c r="A656" s="97"/>
      <c r="B656" s="97"/>
      <c r="C656" s="97"/>
      <c r="D656" s="97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</row>
    <row r="657" ht="15.75" customHeight="1">
      <c r="A657" s="97"/>
      <c r="B657" s="97"/>
      <c r="C657" s="97"/>
      <c r="D657" s="97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</row>
    <row r="658" ht="15.75" customHeight="1">
      <c r="A658" s="97"/>
      <c r="B658" s="97"/>
      <c r="C658" s="97"/>
      <c r="D658" s="97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</row>
    <row r="659" ht="15.75" customHeight="1">
      <c r="A659" s="97"/>
      <c r="B659" s="97"/>
      <c r="C659" s="97"/>
      <c r="D659" s="97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</row>
    <row r="660" ht="15.75" customHeight="1">
      <c r="A660" s="97"/>
      <c r="B660" s="97"/>
      <c r="C660" s="97"/>
      <c r="D660" s="97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</row>
    <row r="661" ht="15.75" customHeight="1">
      <c r="A661" s="97"/>
      <c r="B661" s="97"/>
      <c r="C661" s="97"/>
      <c r="D661" s="97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</row>
    <row r="662" ht="15.75" customHeight="1">
      <c r="A662" s="97"/>
      <c r="B662" s="97"/>
      <c r="C662" s="97"/>
      <c r="D662" s="97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</row>
    <row r="663" ht="15.75" customHeight="1">
      <c r="A663" s="97"/>
      <c r="B663" s="97"/>
      <c r="C663" s="97"/>
      <c r="D663" s="97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</row>
    <row r="664" ht="15.75" customHeight="1">
      <c r="A664" s="97"/>
      <c r="B664" s="97"/>
      <c r="C664" s="97"/>
      <c r="D664" s="97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</row>
    <row r="665" ht="15.75" customHeight="1">
      <c r="A665" s="97"/>
      <c r="B665" s="97"/>
      <c r="C665" s="97"/>
      <c r="D665" s="97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</row>
    <row r="666" ht="15.75" customHeight="1">
      <c r="A666" s="97"/>
      <c r="B666" s="97"/>
      <c r="C666" s="97"/>
      <c r="D666" s="97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</row>
    <row r="667" ht="15.75" customHeight="1">
      <c r="A667" s="97"/>
      <c r="B667" s="97"/>
      <c r="C667" s="97"/>
      <c r="D667" s="97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</row>
    <row r="668" ht="15.75" customHeight="1">
      <c r="A668" s="97"/>
      <c r="B668" s="97"/>
      <c r="C668" s="97"/>
      <c r="D668" s="97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</row>
    <row r="669" ht="15.75" customHeight="1">
      <c r="A669" s="97"/>
      <c r="B669" s="97"/>
      <c r="C669" s="97"/>
      <c r="D669" s="97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</row>
    <row r="670" ht="15.75" customHeight="1">
      <c r="A670" s="97"/>
      <c r="B670" s="97"/>
      <c r="C670" s="97"/>
      <c r="D670" s="97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</row>
    <row r="671" ht="15.75" customHeight="1">
      <c r="A671" s="97"/>
      <c r="B671" s="97"/>
      <c r="C671" s="97"/>
      <c r="D671" s="97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</row>
    <row r="672" ht="15.75" customHeight="1">
      <c r="A672" s="97"/>
      <c r="B672" s="97"/>
      <c r="C672" s="97"/>
      <c r="D672" s="97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</row>
    <row r="673" ht="15.75" customHeight="1">
      <c r="A673" s="97"/>
      <c r="B673" s="97"/>
      <c r="C673" s="97"/>
      <c r="D673" s="97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</row>
    <row r="674" ht="15.75" customHeight="1">
      <c r="A674" s="97"/>
      <c r="B674" s="97"/>
      <c r="C674" s="97"/>
      <c r="D674" s="97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</row>
    <row r="675" ht="15.75" customHeight="1">
      <c r="A675" s="97"/>
      <c r="B675" s="97"/>
      <c r="C675" s="97"/>
      <c r="D675" s="97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</row>
    <row r="676" ht="15.75" customHeight="1">
      <c r="A676" s="97"/>
      <c r="B676" s="97"/>
      <c r="C676" s="97"/>
      <c r="D676" s="97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</row>
    <row r="677" ht="15.75" customHeight="1">
      <c r="A677" s="97"/>
      <c r="B677" s="97"/>
      <c r="C677" s="97"/>
      <c r="D677" s="97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</row>
    <row r="678" ht="15.75" customHeight="1">
      <c r="A678" s="97"/>
      <c r="B678" s="97"/>
      <c r="C678" s="97"/>
      <c r="D678" s="97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</row>
    <row r="679" ht="15.75" customHeight="1">
      <c r="A679" s="97"/>
      <c r="B679" s="97"/>
      <c r="C679" s="97"/>
      <c r="D679" s="97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</row>
    <row r="680" ht="15.75" customHeight="1">
      <c r="A680" s="97"/>
      <c r="B680" s="97"/>
      <c r="C680" s="97"/>
      <c r="D680" s="97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</row>
    <row r="681" ht="15.75" customHeight="1">
      <c r="A681" s="97"/>
      <c r="B681" s="97"/>
      <c r="C681" s="97"/>
      <c r="D681" s="97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</row>
    <row r="682" ht="15.75" customHeight="1">
      <c r="A682" s="97"/>
      <c r="B682" s="97"/>
      <c r="C682" s="97"/>
      <c r="D682" s="97"/>
      <c r="E682" s="97"/>
      <c r="F682" s="97"/>
      <c r="G682" s="97"/>
      <c r="H682" s="97"/>
      <c r="I682" s="97"/>
      <c r="J682" s="97"/>
      <c r="K682" s="97"/>
      <c r="L682" s="97"/>
      <c r="M682" s="97"/>
      <c r="N682" s="97"/>
      <c r="O682" s="97"/>
      <c r="P682" s="97"/>
      <c r="Q682" s="97"/>
      <c r="R682" s="97"/>
      <c r="S682" s="97"/>
      <c r="T682" s="97"/>
      <c r="U682" s="97"/>
      <c r="V682" s="97"/>
      <c r="W682" s="97"/>
      <c r="X682" s="97"/>
      <c r="Y682" s="97"/>
      <c r="Z682" s="97"/>
    </row>
    <row r="683" ht="15.75" customHeight="1">
      <c r="A683" s="97"/>
      <c r="B683" s="97"/>
      <c r="C683" s="97"/>
      <c r="D683" s="97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</row>
    <row r="684" ht="15.75" customHeight="1">
      <c r="A684" s="97"/>
      <c r="B684" s="97"/>
      <c r="C684" s="97"/>
      <c r="D684" s="97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</row>
    <row r="685" ht="15.75" customHeight="1">
      <c r="A685" s="97"/>
      <c r="B685" s="97"/>
      <c r="C685" s="97"/>
      <c r="D685" s="97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</row>
    <row r="686" ht="15.75" customHeight="1">
      <c r="A686" s="97"/>
      <c r="B686" s="97"/>
      <c r="C686" s="97"/>
      <c r="D686" s="97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</row>
    <row r="687" ht="15.75" customHeight="1">
      <c r="A687" s="97"/>
      <c r="B687" s="97"/>
      <c r="C687" s="97"/>
      <c r="D687" s="97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</row>
    <row r="688" ht="15.75" customHeight="1">
      <c r="A688" s="97"/>
      <c r="B688" s="97"/>
      <c r="C688" s="97"/>
      <c r="D688" s="97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</row>
    <row r="689" ht="15.75" customHeight="1">
      <c r="A689" s="97"/>
      <c r="B689" s="97"/>
      <c r="C689" s="97"/>
      <c r="D689" s="97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</row>
    <row r="690" ht="15.75" customHeight="1">
      <c r="A690" s="97"/>
      <c r="B690" s="97"/>
      <c r="C690" s="97"/>
      <c r="D690" s="97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</row>
    <row r="691" ht="15.75" customHeight="1">
      <c r="A691" s="97"/>
      <c r="B691" s="97"/>
      <c r="C691" s="97"/>
      <c r="D691" s="97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</row>
    <row r="692" ht="15.75" customHeight="1">
      <c r="A692" s="97"/>
      <c r="B692" s="97"/>
      <c r="C692" s="97"/>
      <c r="D692" s="97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</row>
    <row r="693" ht="15.75" customHeight="1">
      <c r="A693" s="97"/>
      <c r="B693" s="97"/>
      <c r="C693" s="97"/>
      <c r="D693" s="97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</row>
    <row r="694" ht="15.75" customHeight="1">
      <c r="A694" s="97"/>
      <c r="B694" s="97"/>
      <c r="C694" s="97"/>
      <c r="D694" s="97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</row>
    <row r="695" ht="15.75" customHeight="1">
      <c r="A695" s="97"/>
      <c r="B695" s="97"/>
      <c r="C695" s="97"/>
      <c r="D695" s="97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</row>
    <row r="696" ht="15.75" customHeight="1">
      <c r="A696" s="97"/>
      <c r="B696" s="97"/>
      <c r="C696" s="97"/>
      <c r="D696" s="97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</row>
    <row r="697" ht="15.75" customHeight="1">
      <c r="A697" s="97"/>
      <c r="B697" s="97"/>
      <c r="C697" s="97"/>
      <c r="D697" s="97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</row>
    <row r="698" ht="15.75" customHeight="1">
      <c r="A698" s="97"/>
      <c r="B698" s="97"/>
      <c r="C698" s="97"/>
      <c r="D698" s="97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</row>
    <row r="699" ht="15.75" customHeight="1">
      <c r="A699" s="97"/>
      <c r="B699" s="97"/>
      <c r="C699" s="97"/>
      <c r="D699" s="97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</row>
    <row r="700" ht="15.75" customHeight="1">
      <c r="A700" s="97"/>
      <c r="B700" s="97"/>
      <c r="C700" s="97"/>
      <c r="D700" s="97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</row>
    <row r="701" ht="15.75" customHeight="1">
      <c r="A701" s="97"/>
      <c r="B701" s="97"/>
      <c r="C701" s="97"/>
      <c r="D701" s="97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</row>
    <row r="702" ht="15.75" customHeight="1">
      <c r="A702" s="97"/>
      <c r="B702" s="97"/>
      <c r="C702" s="97"/>
      <c r="D702" s="97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</row>
    <row r="703" ht="15.75" customHeight="1">
      <c r="A703" s="97"/>
      <c r="B703" s="97"/>
      <c r="C703" s="97"/>
      <c r="D703" s="97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</row>
    <row r="704" ht="15.75" customHeight="1">
      <c r="A704" s="97"/>
      <c r="B704" s="97"/>
      <c r="C704" s="97"/>
      <c r="D704" s="97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</row>
    <row r="705" ht="15.75" customHeight="1">
      <c r="A705" s="97"/>
      <c r="B705" s="97"/>
      <c r="C705" s="97"/>
      <c r="D705" s="97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</row>
    <row r="706" ht="15.75" customHeight="1">
      <c r="A706" s="97"/>
      <c r="B706" s="97"/>
      <c r="C706" s="97"/>
      <c r="D706" s="97"/>
      <c r="E706" s="97"/>
      <c r="F706" s="97"/>
      <c r="G706" s="97"/>
      <c r="H706" s="97"/>
      <c r="I706" s="97"/>
      <c r="J706" s="97"/>
      <c r="K706" s="97"/>
      <c r="L706" s="97"/>
      <c r="M706" s="97"/>
      <c r="N706" s="97"/>
      <c r="O706" s="97"/>
      <c r="P706" s="97"/>
      <c r="Q706" s="97"/>
      <c r="R706" s="97"/>
      <c r="S706" s="97"/>
      <c r="T706" s="97"/>
      <c r="U706" s="97"/>
      <c r="V706" s="97"/>
      <c r="W706" s="97"/>
      <c r="X706" s="97"/>
      <c r="Y706" s="97"/>
      <c r="Z706" s="97"/>
    </row>
    <row r="707" ht="15.75" customHeight="1">
      <c r="A707" s="97"/>
      <c r="B707" s="97"/>
      <c r="C707" s="97"/>
      <c r="D707" s="97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</row>
    <row r="708" ht="15.75" customHeight="1">
      <c r="A708" s="97"/>
      <c r="B708" s="97"/>
      <c r="C708" s="97"/>
      <c r="D708" s="97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</row>
    <row r="709" ht="15.75" customHeight="1">
      <c r="A709" s="97"/>
      <c r="B709" s="97"/>
      <c r="C709" s="97"/>
      <c r="D709" s="97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</row>
    <row r="710" ht="15.75" customHeight="1">
      <c r="A710" s="97"/>
      <c r="B710" s="97"/>
      <c r="C710" s="97"/>
      <c r="D710" s="97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</row>
    <row r="711" ht="15.75" customHeight="1">
      <c r="A711" s="97"/>
      <c r="B711" s="97"/>
      <c r="C711" s="97"/>
      <c r="D711" s="97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</row>
    <row r="712" ht="15.75" customHeight="1">
      <c r="A712" s="97"/>
      <c r="B712" s="97"/>
      <c r="C712" s="97"/>
      <c r="D712" s="97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</row>
    <row r="713" ht="15.75" customHeight="1">
      <c r="A713" s="97"/>
      <c r="B713" s="97"/>
      <c r="C713" s="97"/>
      <c r="D713" s="97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</row>
    <row r="714" ht="15.75" customHeight="1">
      <c r="A714" s="97"/>
      <c r="B714" s="97"/>
      <c r="C714" s="97"/>
      <c r="D714" s="97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</row>
    <row r="715" ht="15.75" customHeight="1">
      <c r="A715" s="97"/>
      <c r="B715" s="97"/>
      <c r="C715" s="97"/>
      <c r="D715" s="97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</row>
    <row r="716" ht="15.75" customHeight="1">
      <c r="A716" s="97"/>
      <c r="B716" s="97"/>
      <c r="C716" s="97"/>
      <c r="D716" s="97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</row>
    <row r="717" ht="15.75" customHeight="1">
      <c r="A717" s="97"/>
      <c r="B717" s="97"/>
      <c r="C717" s="97"/>
      <c r="D717" s="97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</row>
    <row r="718" ht="15.75" customHeight="1">
      <c r="A718" s="97"/>
      <c r="B718" s="97"/>
      <c r="C718" s="97"/>
      <c r="D718" s="97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</row>
    <row r="719" ht="15.75" customHeight="1">
      <c r="A719" s="97"/>
      <c r="B719" s="97"/>
      <c r="C719" s="97"/>
      <c r="D719" s="97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</row>
    <row r="720" ht="15.75" customHeight="1">
      <c r="A720" s="97"/>
      <c r="B720" s="97"/>
      <c r="C720" s="97"/>
      <c r="D720" s="97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</row>
    <row r="721" ht="15.75" customHeight="1">
      <c r="A721" s="97"/>
      <c r="B721" s="97"/>
      <c r="C721" s="97"/>
      <c r="D721" s="97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</row>
    <row r="722" ht="15.75" customHeight="1">
      <c r="A722" s="97"/>
      <c r="B722" s="97"/>
      <c r="C722" s="97"/>
      <c r="D722" s="97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</row>
    <row r="723" ht="15.75" customHeight="1">
      <c r="A723" s="97"/>
      <c r="B723" s="97"/>
      <c r="C723" s="97"/>
      <c r="D723" s="97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</row>
    <row r="724" ht="15.75" customHeight="1">
      <c r="A724" s="97"/>
      <c r="B724" s="97"/>
      <c r="C724" s="97"/>
      <c r="D724" s="97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</row>
    <row r="725" ht="15.75" customHeight="1">
      <c r="A725" s="97"/>
      <c r="B725" s="97"/>
      <c r="C725" s="97"/>
      <c r="D725" s="97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</row>
    <row r="726" ht="15.75" customHeight="1">
      <c r="A726" s="97"/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</row>
    <row r="727" ht="15.75" customHeight="1">
      <c r="A727" s="97"/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</row>
    <row r="728" ht="15.75" customHeight="1">
      <c r="A728" s="97"/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</row>
    <row r="729" ht="15.75" customHeight="1">
      <c r="A729" s="97"/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</row>
    <row r="730" ht="15.75" customHeight="1">
      <c r="A730" s="97"/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</row>
    <row r="731" ht="15.75" customHeight="1">
      <c r="A731" s="97"/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</row>
    <row r="732" ht="15.75" customHeight="1">
      <c r="A732" s="97"/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</row>
    <row r="733" ht="15.75" customHeight="1">
      <c r="A733" s="97"/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</row>
    <row r="734" ht="15.75" customHeight="1">
      <c r="A734" s="97"/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</row>
    <row r="735" ht="15.75" customHeight="1">
      <c r="A735" s="97"/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</row>
    <row r="736" ht="15.75" customHeight="1">
      <c r="A736" s="97"/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</row>
    <row r="737" ht="15.75" customHeight="1">
      <c r="A737" s="97"/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</row>
    <row r="738" ht="15.75" customHeight="1">
      <c r="A738" s="97"/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</row>
    <row r="739" ht="15.75" customHeight="1">
      <c r="A739" s="97"/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</row>
    <row r="740" ht="15.75" customHeight="1">
      <c r="A740" s="97"/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</row>
    <row r="741" ht="15.75" customHeight="1">
      <c r="A741" s="97"/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</row>
    <row r="742" ht="15.75" customHeight="1">
      <c r="A742" s="97"/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</row>
    <row r="743" ht="15.75" customHeight="1">
      <c r="A743" s="97"/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</row>
    <row r="744" ht="15.75" customHeight="1">
      <c r="A744" s="97"/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</row>
    <row r="745" ht="15.75" customHeight="1">
      <c r="A745" s="97"/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</row>
    <row r="746" ht="15.75" customHeight="1">
      <c r="A746" s="97"/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</row>
    <row r="747" ht="15.75" customHeight="1">
      <c r="A747" s="97"/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</row>
    <row r="748" ht="15.75" customHeight="1">
      <c r="A748" s="97"/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</row>
    <row r="749" ht="15.75" customHeight="1">
      <c r="A749" s="97"/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</row>
    <row r="750" ht="15.75" customHeight="1">
      <c r="A750" s="97"/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</row>
    <row r="751" ht="15.75" customHeight="1">
      <c r="A751" s="97"/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</row>
    <row r="752" ht="15.75" customHeight="1">
      <c r="A752" s="97"/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</row>
    <row r="753" ht="15.75" customHeight="1">
      <c r="A753" s="97"/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</row>
    <row r="754" ht="15.75" customHeight="1">
      <c r="A754" s="97"/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</row>
    <row r="755" ht="15.75" customHeight="1">
      <c r="A755" s="97"/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</row>
    <row r="756" ht="15.75" customHeight="1">
      <c r="A756" s="97"/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</row>
    <row r="757" ht="15.75" customHeight="1">
      <c r="A757" s="97"/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</row>
    <row r="758" ht="15.75" customHeight="1">
      <c r="A758" s="97"/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</row>
    <row r="759" ht="15.75" customHeight="1">
      <c r="A759" s="97"/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</row>
    <row r="760" ht="15.75" customHeight="1">
      <c r="A760" s="97"/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</row>
    <row r="761" ht="15.75" customHeight="1">
      <c r="A761" s="97"/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</row>
    <row r="762" ht="15.75" customHeight="1">
      <c r="A762" s="97"/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</row>
    <row r="763" ht="15.75" customHeight="1">
      <c r="A763" s="97"/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</row>
    <row r="764" ht="15.75" customHeight="1">
      <c r="A764" s="97"/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</row>
    <row r="765" ht="15.75" customHeight="1">
      <c r="A765" s="97"/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</row>
    <row r="766" ht="15.75" customHeight="1">
      <c r="A766" s="97"/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</row>
    <row r="767" ht="15.75" customHeight="1">
      <c r="A767" s="97"/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</row>
    <row r="768" ht="15.75" customHeight="1">
      <c r="A768" s="97"/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</row>
    <row r="769" ht="15.75" customHeight="1">
      <c r="A769" s="97"/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</row>
    <row r="770" ht="15.75" customHeight="1">
      <c r="A770" s="97"/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</row>
    <row r="771" ht="15.75" customHeight="1">
      <c r="A771" s="97"/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</row>
    <row r="772" ht="15.75" customHeight="1">
      <c r="A772" s="97"/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97"/>
      <c r="T772" s="97"/>
      <c r="U772" s="97"/>
      <c r="V772" s="97"/>
      <c r="W772" s="97"/>
      <c r="X772" s="97"/>
      <c r="Y772" s="97"/>
      <c r="Z772" s="97"/>
    </row>
    <row r="773" ht="15.75" customHeight="1">
      <c r="A773" s="97"/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</row>
    <row r="774" ht="15.75" customHeight="1">
      <c r="A774" s="97"/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</row>
    <row r="775" ht="15.75" customHeight="1">
      <c r="A775" s="97"/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</row>
    <row r="776" ht="15.75" customHeight="1">
      <c r="A776" s="97"/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</row>
    <row r="777" ht="15.75" customHeight="1">
      <c r="A777" s="97"/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</row>
    <row r="778" ht="15.75" customHeight="1">
      <c r="A778" s="97"/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</row>
    <row r="779" ht="15.75" customHeight="1">
      <c r="A779" s="97"/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</row>
    <row r="780" ht="15.75" customHeight="1">
      <c r="A780" s="97"/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</row>
    <row r="781" ht="15.75" customHeight="1">
      <c r="A781" s="97"/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</row>
    <row r="782" ht="15.75" customHeight="1">
      <c r="A782" s="97"/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</row>
    <row r="783" ht="15.75" customHeight="1">
      <c r="A783" s="97"/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</row>
    <row r="784" ht="15.75" customHeight="1">
      <c r="A784" s="97"/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</row>
    <row r="785" ht="15.75" customHeight="1">
      <c r="A785" s="97"/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97"/>
      <c r="T785" s="97"/>
      <c r="U785" s="97"/>
      <c r="V785" s="97"/>
      <c r="W785" s="97"/>
      <c r="X785" s="97"/>
      <c r="Y785" s="97"/>
      <c r="Z785" s="97"/>
    </row>
    <row r="786" ht="15.75" customHeight="1">
      <c r="A786" s="97"/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</row>
    <row r="787" ht="15.75" customHeight="1">
      <c r="A787" s="97"/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</row>
    <row r="788" ht="15.75" customHeight="1">
      <c r="A788" s="97"/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</row>
    <row r="789" ht="15.75" customHeight="1">
      <c r="A789" s="97"/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</row>
    <row r="790" ht="15.75" customHeight="1">
      <c r="A790" s="97"/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</row>
    <row r="791" ht="15.75" customHeight="1">
      <c r="A791" s="97"/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</row>
    <row r="792" ht="15.75" customHeight="1">
      <c r="A792" s="97"/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</row>
    <row r="793" ht="15.75" customHeight="1">
      <c r="A793" s="97"/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</row>
    <row r="794" ht="15.75" customHeight="1">
      <c r="A794" s="97"/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</row>
    <row r="795" ht="15.75" customHeight="1">
      <c r="A795" s="97"/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</row>
    <row r="796" ht="15.75" customHeight="1">
      <c r="A796" s="97"/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</row>
    <row r="797" ht="15.75" customHeight="1">
      <c r="A797" s="97"/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</row>
    <row r="798" ht="15.75" customHeight="1">
      <c r="A798" s="97"/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</row>
    <row r="799" ht="15.75" customHeight="1">
      <c r="A799" s="97"/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</row>
    <row r="800" ht="15.75" customHeight="1">
      <c r="A800" s="97"/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</row>
    <row r="801" ht="15.75" customHeight="1">
      <c r="A801" s="97"/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</row>
    <row r="802" ht="15.75" customHeight="1">
      <c r="A802" s="97"/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</row>
    <row r="803" ht="15.75" customHeight="1">
      <c r="A803" s="97"/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</row>
    <row r="804" ht="15.75" customHeight="1">
      <c r="A804" s="97"/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</row>
    <row r="805" ht="15.75" customHeight="1">
      <c r="A805" s="97"/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</row>
    <row r="806" ht="15.75" customHeight="1">
      <c r="A806" s="97"/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</row>
    <row r="807" ht="15.75" customHeight="1">
      <c r="A807" s="97"/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</row>
    <row r="808" ht="15.75" customHeight="1">
      <c r="A808" s="97"/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</row>
    <row r="809" ht="15.75" customHeight="1">
      <c r="A809" s="97"/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</row>
    <row r="810" ht="15.75" customHeight="1">
      <c r="A810" s="97"/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</row>
    <row r="811" ht="15.75" customHeight="1">
      <c r="A811" s="97"/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</row>
    <row r="812" ht="15.75" customHeight="1">
      <c r="A812" s="97"/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</row>
    <row r="813" ht="15.75" customHeight="1">
      <c r="A813" s="97"/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</row>
    <row r="814" ht="15.75" customHeight="1">
      <c r="A814" s="97"/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</row>
    <row r="815" ht="15.75" customHeight="1">
      <c r="A815" s="97"/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</row>
    <row r="816" ht="15.75" customHeight="1">
      <c r="A816" s="97"/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</row>
    <row r="817" ht="15.75" customHeight="1">
      <c r="A817" s="97"/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</row>
    <row r="818" ht="15.75" customHeight="1">
      <c r="A818" s="97"/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</row>
    <row r="819" ht="15.75" customHeight="1">
      <c r="A819" s="97"/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</row>
    <row r="820" ht="15.75" customHeight="1">
      <c r="A820" s="97"/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</row>
    <row r="821" ht="15.75" customHeight="1">
      <c r="A821" s="97"/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</row>
    <row r="822" ht="15.75" customHeight="1">
      <c r="A822" s="97"/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</row>
    <row r="823" ht="15.75" customHeight="1">
      <c r="A823" s="97"/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</row>
    <row r="824" ht="15.75" customHeight="1">
      <c r="A824" s="97"/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</row>
    <row r="825" ht="15.75" customHeight="1">
      <c r="A825" s="97"/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</row>
    <row r="826" ht="15.75" customHeight="1">
      <c r="A826" s="97"/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</row>
    <row r="827" ht="15.75" customHeight="1">
      <c r="A827" s="97"/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</row>
    <row r="828" ht="15.75" customHeight="1">
      <c r="A828" s="97"/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</row>
    <row r="829" ht="15.75" customHeight="1">
      <c r="A829" s="97"/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</row>
    <row r="830" ht="15.75" customHeight="1">
      <c r="A830" s="97"/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</row>
    <row r="831" ht="15.75" customHeight="1">
      <c r="A831" s="97"/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</row>
    <row r="832" ht="15.75" customHeight="1">
      <c r="A832" s="97"/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</row>
    <row r="833" ht="15.75" customHeight="1">
      <c r="A833" s="97"/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</row>
    <row r="834" ht="15.75" customHeight="1">
      <c r="A834" s="97"/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</row>
    <row r="835" ht="15.75" customHeight="1">
      <c r="A835" s="97"/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</row>
    <row r="836" ht="15.75" customHeight="1">
      <c r="A836" s="97"/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</row>
    <row r="837" ht="15.75" customHeight="1">
      <c r="A837" s="97"/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</row>
    <row r="838" ht="15.75" customHeight="1">
      <c r="A838" s="97"/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</row>
    <row r="839" ht="15.75" customHeight="1">
      <c r="A839" s="97"/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</row>
    <row r="840" ht="15.75" customHeight="1">
      <c r="A840" s="97"/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</row>
    <row r="841" ht="15.75" customHeight="1">
      <c r="A841" s="97"/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</row>
    <row r="842" ht="15.75" customHeight="1">
      <c r="A842" s="97"/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</row>
    <row r="843" ht="15.75" customHeight="1">
      <c r="A843" s="97"/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</row>
    <row r="844" ht="15.75" customHeight="1">
      <c r="A844" s="97"/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</row>
    <row r="845" ht="15.75" customHeight="1">
      <c r="A845" s="97"/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</row>
    <row r="846" ht="15.75" customHeight="1">
      <c r="A846" s="97"/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97"/>
      <c r="T846" s="97"/>
      <c r="U846" s="97"/>
      <c r="V846" s="97"/>
      <c r="W846" s="97"/>
      <c r="X846" s="97"/>
      <c r="Y846" s="97"/>
      <c r="Z846" s="97"/>
    </row>
    <row r="847" ht="15.75" customHeight="1">
      <c r="A847" s="97"/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</row>
    <row r="848" ht="15.75" customHeight="1">
      <c r="A848" s="97"/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</row>
    <row r="849" ht="15.75" customHeight="1">
      <c r="A849" s="97"/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</row>
    <row r="850" ht="15.75" customHeight="1">
      <c r="A850" s="97"/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</row>
    <row r="851" ht="15.75" customHeight="1">
      <c r="A851" s="97"/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</row>
    <row r="852" ht="15.75" customHeight="1">
      <c r="A852" s="97"/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</row>
    <row r="853" ht="15.75" customHeight="1">
      <c r="A853" s="97"/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</row>
    <row r="854" ht="15.75" customHeight="1">
      <c r="A854" s="97"/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</row>
    <row r="855" ht="15.75" customHeight="1">
      <c r="A855" s="97"/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</row>
    <row r="856" ht="15.75" customHeight="1">
      <c r="A856" s="97"/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</row>
    <row r="857" ht="15.75" customHeight="1">
      <c r="A857" s="97"/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</row>
    <row r="858" ht="15.75" customHeight="1">
      <c r="A858" s="97"/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</row>
    <row r="859" ht="15.75" customHeight="1">
      <c r="A859" s="97"/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</row>
    <row r="860" ht="15.75" customHeight="1">
      <c r="A860" s="97"/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</row>
    <row r="861" ht="15.75" customHeight="1">
      <c r="A861" s="97"/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</row>
    <row r="862" ht="15.75" customHeight="1">
      <c r="A862" s="97"/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</row>
    <row r="863" ht="15.75" customHeight="1">
      <c r="A863" s="97"/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</row>
    <row r="864" ht="15.75" customHeight="1">
      <c r="A864" s="97"/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</row>
    <row r="865" ht="15.75" customHeight="1">
      <c r="A865" s="97"/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</row>
    <row r="866" ht="15.75" customHeight="1">
      <c r="A866" s="97"/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</row>
    <row r="867" ht="15.75" customHeight="1">
      <c r="A867" s="97"/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</row>
    <row r="868" ht="15.75" customHeight="1">
      <c r="A868" s="97"/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</row>
    <row r="869" ht="15.75" customHeight="1">
      <c r="A869" s="97"/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</row>
    <row r="870" ht="15.75" customHeight="1">
      <c r="A870" s="97"/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</row>
    <row r="871" ht="15.75" customHeight="1">
      <c r="A871" s="97"/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</row>
    <row r="872" ht="15.75" customHeight="1">
      <c r="A872" s="97"/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</row>
    <row r="873" ht="15.75" customHeight="1">
      <c r="A873" s="97"/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</row>
    <row r="874" ht="15.75" customHeight="1">
      <c r="A874" s="97"/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</row>
    <row r="875" ht="15.75" customHeight="1">
      <c r="A875" s="97"/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</row>
    <row r="876" ht="15.75" customHeight="1">
      <c r="A876" s="97"/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</row>
    <row r="877" ht="15.75" customHeight="1">
      <c r="A877" s="97"/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</row>
    <row r="878" ht="15.75" customHeight="1">
      <c r="A878" s="97"/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</row>
    <row r="879" ht="15.75" customHeight="1">
      <c r="A879" s="97"/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</row>
    <row r="880" ht="15.75" customHeight="1">
      <c r="A880" s="97"/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</row>
    <row r="881" ht="15.75" customHeight="1">
      <c r="A881" s="97"/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</row>
    <row r="882" ht="15.75" customHeight="1">
      <c r="A882" s="97"/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</row>
    <row r="883" ht="15.75" customHeight="1">
      <c r="A883" s="97"/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</row>
    <row r="884" ht="15.75" customHeight="1">
      <c r="A884" s="97"/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</row>
    <row r="885" ht="15.75" customHeight="1">
      <c r="A885" s="97"/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</row>
    <row r="886" ht="15.75" customHeight="1">
      <c r="A886" s="97"/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</row>
    <row r="887" ht="15.75" customHeight="1">
      <c r="A887" s="97"/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</row>
    <row r="888" ht="15.75" customHeight="1">
      <c r="A888" s="97"/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</row>
    <row r="889" ht="15.75" customHeight="1">
      <c r="A889" s="97"/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</row>
    <row r="890" ht="15.75" customHeight="1">
      <c r="A890" s="97"/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</row>
    <row r="891" ht="15.75" customHeight="1">
      <c r="A891" s="97"/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</row>
    <row r="892" ht="15.75" customHeight="1">
      <c r="A892" s="97"/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</row>
    <row r="893" ht="15.75" customHeight="1">
      <c r="A893" s="97"/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</row>
    <row r="894" ht="15.75" customHeight="1">
      <c r="A894" s="97"/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</row>
    <row r="895" ht="15.75" customHeight="1">
      <c r="A895" s="97"/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</row>
    <row r="896" ht="15.75" customHeight="1">
      <c r="A896" s="97"/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</row>
    <row r="897" ht="15.75" customHeight="1">
      <c r="A897" s="97"/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</row>
    <row r="898" ht="15.75" customHeight="1">
      <c r="A898" s="97"/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</row>
    <row r="899" ht="15.75" customHeight="1">
      <c r="A899" s="97"/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</row>
    <row r="900" ht="15.75" customHeight="1">
      <c r="A900" s="97"/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</row>
    <row r="901" ht="15.75" customHeight="1">
      <c r="A901" s="97"/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</row>
    <row r="902" ht="15.75" customHeight="1">
      <c r="A902" s="97"/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</row>
    <row r="903" ht="15.75" customHeight="1">
      <c r="A903" s="97"/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</row>
    <row r="904" ht="15.75" customHeight="1">
      <c r="A904" s="97"/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</row>
    <row r="905" ht="15.75" customHeight="1">
      <c r="A905" s="97"/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</row>
    <row r="906" ht="15.75" customHeight="1">
      <c r="A906" s="97"/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</row>
    <row r="907" ht="15.75" customHeight="1">
      <c r="A907" s="97"/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</row>
    <row r="908" ht="15.75" customHeight="1">
      <c r="A908" s="97"/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</row>
    <row r="909" ht="15.75" customHeight="1">
      <c r="A909" s="97"/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</row>
    <row r="910" ht="15.75" customHeight="1">
      <c r="A910" s="97"/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</row>
    <row r="911" ht="15.75" customHeight="1">
      <c r="A911" s="97"/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</row>
    <row r="912" ht="15.75" customHeight="1">
      <c r="A912" s="97"/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97"/>
      <c r="T912" s="97"/>
      <c r="U912" s="97"/>
      <c r="V912" s="97"/>
      <c r="W912" s="97"/>
      <c r="X912" s="97"/>
      <c r="Y912" s="97"/>
      <c r="Z912" s="97"/>
    </row>
    <row r="913" ht="15.75" customHeight="1">
      <c r="A913" s="97"/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</row>
    <row r="914" ht="15.75" customHeight="1">
      <c r="A914" s="97"/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</row>
    <row r="915" ht="15.75" customHeight="1">
      <c r="A915" s="97"/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</row>
    <row r="916" ht="15.75" customHeight="1">
      <c r="A916" s="97"/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</row>
    <row r="917" ht="15.75" customHeight="1">
      <c r="A917" s="97"/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</row>
    <row r="918" ht="15.75" customHeight="1">
      <c r="A918" s="97"/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</row>
    <row r="919" ht="15.75" customHeight="1">
      <c r="A919" s="97"/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</row>
    <row r="920" ht="15.75" customHeight="1">
      <c r="A920" s="97"/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</row>
    <row r="921" ht="15.75" customHeight="1">
      <c r="A921" s="97"/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</row>
    <row r="922" ht="15.75" customHeight="1">
      <c r="A922" s="97"/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</row>
    <row r="923" ht="15.75" customHeight="1">
      <c r="A923" s="97"/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</row>
    <row r="924" ht="15.75" customHeight="1">
      <c r="A924" s="97"/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</row>
    <row r="925" ht="15.75" customHeight="1">
      <c r="A925" s="97"/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</row>
    <row r="926" ht="15.75" customHeight="1">
      <c r="A926" s="97"/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</row>
    <row r="927" ht="15.75" customHeight="1">
      <c r="A927" s="97"/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</row>
    <row r="928" ht="15.75" customHeight="1">
      <c r="A928" s="97"/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</row>
    <row r="929" ht="15.75" customHeight="1">
      <c r="A929" s="97"/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</row>
    <row r="930" ht="15.75" customHeight="1">
      <c r="A930" s="97"/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</row>
    <row r="931" ht="15.75" customHeight="1">
      <c r="A931" s="97"/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</row>
    <row r="932" ht="15.75" customHeight="1">
      <c r="A932" s="97"/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</row>
    <row r="933" ht="15.75" customHeight="1">
      <c r="A933" s="97"/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</row>
    <row r="934" ht="15.75" customHeight="1">
      <c r="A934" s="97"/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</row>
    <row r="935" ht="15.75" customHeight="1">
      <c r="A935" s="97"/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</row>
    <row r="936" ht="15.75" customHeight="1">
      <c r="A936" s="97"/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</row>
    <row r="937" ht="15.75" customHeight="1">
      <c r="A937" s="97"/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</row>
    <row r="938" ht="15.75" customHeight="1">
      <c r="A938" s="97"/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</row>
    <row r="939" ht="15.75" customHeight="1">
      <c r="A939" s="97"/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</row>
    <row r="940" ht="15.75" customHeight="1">
      <c r="A940" s="97"/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</row>
    <row r="941" ht="15.75" customHeight="1">
      <c r="A941" s="97"/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</row>
    <row r="942" ht="15.75" customHeight="1">
      <c r="A942" s="97"/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</row>
    <row r="943" ht="15.75" customHeight="1">
      <c r="A943" s="97"/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</row>
    <row r="944" ht="15.75" customHeight="1">
      <c r="A944" s="97"/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</row>
    <row r="945" ht="15.75" customHeight="1">
      <c r="A945" s="97"/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</row>
    <row r="946" ht="15.75" customHeight="1">
      <c r="A946" s="97"/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</row>
    <row r="947" ht="15.75" customHeight="1">
      <c r="A947" s="97"/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</row>
    <row r="948" ht="15.75" customHeight="1">
      <c r="A948" s="97"/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</row>
    <row r="949" ht="15.75" customHeight="1">
      <c r="A949" s="97"/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</row>
    <row r="950" ht="15.75" customHeight="1">
      <c r="A950" s="97"/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</row>
    <row r="951" ht="15.75" customHeight="1">
      <c r="A951" s="97"/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</row>
    <row r="952" ht="15.75" customHeight="1">
      <c r="A952" s="97"/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</row>
    <row r="953" ht="15.75" customHeight="1">
      <c r="A953" s="97"/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</row>
    <row r="954" ht="15.75" customHeight="1">
      <c r="A954" s="97"/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</row>
    <row r="955" ht="15.75" customHeight="1">
      <c r="A955" s="97"/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</row>
    <row r="956" ht="15.75" customHeight="1">
      <c r="A956" s="97"/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</row>
    <row r="957" ht="15.75" customHeight="1">
      <c r="A957" s="97"/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</row>
    <row r="958" ht="15.75" customHeight="1">
      <c r="A958" s="97"/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</row>
    <row r="959" ht="15.75" customHeight="1">
      <c r="A959" s="97"/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</row>
    <row r="960" ht="15.75" customHeight="1">
      <c r="A960" s="97"/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</row>
    <row r="961" ht="15.75" customHeight="1">
      <c r="A961" s="97"/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</row>
    <row r="962" ht="15.75" customHeight="1">
      <c r="A962" s="97"/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</row>
    <row r="963" ht="15.75" customHeight="1">
      <c r="A963" s="97"/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</row>
    <row r="964" ht="15.75" customHeight="1">
      <c r="A964" s="97"/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</row>
    <row r="965" ht="15.75" customHeight="1">
      <c r="A965" s="97"/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</row>
    <row r="966" ht="15.75" customHeight="1">
      <c r="A966" s="97"/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</row>
    <row r="967" ht="15.75" customHeight="1">
      <c r="A967" s="97"/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</row>
    <row r="968" ht="15.75" customHeight="1">
      <c r="A968" s="97"/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</row>
    <row r="969" ht="15.75" customHeight="1">
      <c r="A969" s="97"/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</row>
    <row r="970" ht="15.75" customHeight="1">
      <c r="A970" s="97"/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</row>
    <row r="971" ht="15.75" customHeight="1">
      <c r="A971" s="97"/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</row>
    <row r="972" ht="15.75" customHeight="1">
      <c r="A972" s="97"/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</row>
    <row r="973" ht="15.75" customHeight="1">
      <c r="A973" s="97"/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</row>
    <row r="974" ht="15.75" customHeight="1">
      <c r="A974" s="97"/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</row>
    <row r="975" ht="15.75" customHeight="1">
      <c r="A975" s="97"/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</row>
    <row r="976" ht="15.75" customHeight="1">
      <c r="A976" s="97"/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</row>
    <row r="977" ht="15.75" customHeight="1">
      <c r="A977" s="97"/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</row>
    <row r="978" ht="15.75" customHeight="1">
      <c r="A978" s="97"/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</row>
    <row r="979" ht="15.75" customHeight="1">
      <c r="A979" s="97"/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</row>
    <row r="980" ht="15.75" customHeight="1">
      <c r="A980" s="97"/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</row>
    <row r="981" ht="15.75" customHeight="1">
      <c r="A981" s="97"/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</row>
    <row r="982" ht="15.75" customHeight="1">
      <c r="A982" s="97"/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</row>
    <row r="983" ht="15.75" customHeight="1">
      <c r="A983" s="97"/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</row>
    <row r="984" ht="15.75" customHeight="1">
      <c r="A984" s="97"/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</row>
    <row r="985" ht="15.75" customHeight="1">
      <c r="A985" s="97"/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</row>
    <row r="986" ht="15.75" customHeight="1">
      <c r="A986" s="97"/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</row>
    <row r="987" ht="15.75" customHeight="1">
      <c r="A987" s="97"/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</row>
    <row r="988" ht="15.75" customHeight="1">
      <c r="A988" s="97"/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</row>
    <row r="989" ht="15.75" customHeight="1">
      <c r="A989" s="97"/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</row>
    <row r="990" ht="15.75" customHeight="1">
      <c r="A990" s="97"/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</row>
    <row r="991" ht="15.75" customHeight="1">
      <c r="A991" s="97"/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</row>
    <row r="992" ht="15.75" customHeight="1">
      <c r="A992" s="97"/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</row>
    <row r="993" ht="15.75" customHeight="1">
      <c r="A993" s="97"/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</row>
    <row r="994" ht="15.75" customHeight="1">
      <c r="A994" s="97"/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</row>
    <row r="995" ht="15.75" customHeight="1">
      <c r="A995" s="97"/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</row>
  </sheetData>
  <autoFilter ref="$I$18:$K$27"/>
  <mergeCells count="2">
    <mergeCell ref="B18:C18"/>
    <mergeCell ref="I18:J18"/>
  </mergeCells>
  <printOptions/>
  <pageMargins bottom="0.75" footer="0.0" header="0.0" left="0.7" right="0.7" top="0.75"/>
  <pageSetup fitToHeight="0" paperSize="9"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6.0"/>
    <col customWidth="1" min="2" max="2" width="21.29"/>
    <col customWidth="1" min="3" max="3" width="9.86"/>
  </cols>
  <sheetData>
    <row r="1">
      <c r="A1" s="237" t="s">
        <v>233</v>
      </c>
      <c r="F1" s="22"/>
    </row>
    <row r="2">
      <c r="A2" s="22" t="s">
        <v>234</v>
      </c>
    </row>
    <row r="3">
      <c r="F3" s="22"/>
    </row>
    <row r="4">
      <c r="A4" s="29" t="s">
        <v>235</v>
      </c>
      <c r="F4" s="22"/>
    </row>
    <row r="5">
      <c r="A5" s="22" t="s">
        <v>236</v>
      </c>
      <c r="C5" s="22" t="s">
        <v>237</v>
      </c>
      <c r="F5" s="22"/>
    </row>
    <row r="6">
      <c r="A6" s="22" t="s">
        <v>238</v>
      </c>
      <c r="F6" s="22"/>
    </row>
    <row r="7">
      <c r="A7" s="22" t="s">
        <v>239</v>
      </c>
      <c r="C7" s="238"/>
      <c r="F7" s="22"/>
    </row>
    <row r="8">
      <c r="A8" s="22" t="s">
        <v>240</v>
      </c>
      <c r="F8" s="22"/>
    </row>
    <row r="9">
      <c r="A9" s="22" t="s">
        <v>241</v>
      </c>
      <c r="F9" s="22"/>
    </row>
    <row r="10">
      <c r="A10" s="22" t="s">
        <v>242</v>
      </c>
      <c r="F10" s="22"/>
    </row>
    <row r="11">
      <c r="A11" s="22"/>
      <c r="F11" s="22"/>
    </row>
    <row r="12">
      <c r="A12" s="29">
        <v>40000.0</v>
      </c>
      <c r="F12" s="22"/>
    </row>
    <row r="13">
      <c r="A13" s="22" t="s">
        <v>243</v>
      </c>
      <c r="F13" s="22"/>
    </row>
    <row r="14">
      <c r="B14" s="22"/>
      <c r="F14" s="22"/>
    </row>
    <row r="15">
      <c r="A15" s="237"/>
    </row>
    <row r="16">
      <c r="A16" s="239"/>
      <c r="B16" s="239"/>
      <c r="C16" s="239"/>
      <c r="D16" s="239"/>
      <c r="E16" s="239"/>
      <c r="F16" s="239"/>
      <c r="G16" s="239"/>
      <c r="H16" s="239"/>
      <c r="I16" s="239"/>
    </row>
    <row r="17">
      <c r="A17" s="240"/>
      <c r="B17" s="239"/>
      <c r="C17" s="239"/>
      <c r="D17" s="239"/>
      <c r="F17" s="239"/>
      <c r="G17" s="239"/>
      <c r="H17" s="239"/>
      <c r="I17" s="239"/>
    </row>
    <row r="18">
      <c r="A18" s="239"/>
      <c r="B18" s="239"/>
      <c r="C18" s="239"/>
      <c r="D18" s="239"/>
      <c r="E18" s="239"/>
      <c r="F18" s="241"/>
      <c r="G18" s="241"/>
      <c r="H18" s="241"/>
      <c r="I18" s="239"/>
    </row>
    <row r="19">
      <c r="A19" s="239"/>
      <c r="B19" s="242"/>
      <c r="C19" s="239"/>
      <c r="D19" s="241"/>
      <c r="E19" s="239"/>
      <c r="F19" s="239"/>
      <c r="G19" s="239"/>
      <c r="H19" s="239"/>
      <c r="I19" s="239"/>
    </row>
    <row r="20">
      <c r="A20" s="239"/>
      <c r="B20" s="243"/>
      <c r="C20" s="239"/>
      <c r="D20" s="241"/>
      <c r="E20" s="239"/>
      <c r="F20" s="240"/>
      <c r="G20" s="239"/>
      <c r="H20" s="239"/>
      <c r="I20" s="239"/>
    </row>
    <row r="21">
      <c r="A21" s="239"/>
      <c r="B21" s="243"/>
      <c r="C21" s="239"/>
      <c r="D21" s="241"/>
      <c r="E21" s="239"/>
      <c r="F21" s="239"/>
      <c r="G21" s="239"/>
      <c r="H21" s="239"/>
      <c r="I21" s="241"/>
    </row>
    <row r="22">
      <c r="A22" s="239"/>
      <c r="B22" s="239"/>
      <c r="C22" s="239"/>
      <c r="D22" s="241"/>
      <c r="E22" s="239"/>
      <c r="F22" s="239"/>
      <c r="G22" s="239"/>
      <c r="H22" s="239"/>
      <c r="I22" s="241"/>
    </row>
    <row r="23">
      <c r="A23" s="239"/>
      <c r="B23" s="239"/>
      <c r="C23" s="239"/>
      <c r="D23" s="241"/>
      <c r="E23" s="239"/>
      <c r="F23" s="239"/>
      <c r="G23" s="239"/>
      <c r="H23" s="239"/>
      <c r="I23" s="241"/>
    </row>
    <row r="24">
      <c r="A24" s="239"/>
      <c r="B24" s="239"/>
      <c r="C24" s="239"/>
      <c r="D24" s="241"/>
      <c r="E24" s="239"/>
      <c r="F24" s="239"/>
      <c r="G24" s="239"/>
      <c r="H24" s="239"/>
      <c r="I24" s="241"/>
    </row>
    <row r="25">
      <c r="A25" s="239"/>
      <c r="B25" s="239"/>
      <c r="C25" s="239"/>
      <c r="D25" s="239"/>
      <c r="E25" s="239"/>
      <c r="F25" s="239"/>
      <c r="G25" s="239"/>
      <c r="H25" s="239"/>
      <c r="I25" s="241"/>
    </row>
    <row r="26">
      <c r="A26" s="240"/>
      <c r="B26" s="239"/>
      <c r="C26" s="239"/>
      <c r="D26" s="239"/>
      <c r="E26" s="239"/>
      <c r="F26" s="239"/>
      <c r="G26" s="239"/>
      <c r="H26" s="239"/>
      <c r="I26" s="239"/>
      <c r="J26" s="239"/>
    </row>
    <row r="27">
      <c r="A27" s="239"/>
      <c r="B27" s="244"/>
      <c r="C27" s="239"/>
      <c r="D27" s="241"/>
      <c r="E27" s="239"/>
      <c r="F27" s="239"/>
      <c r="G27" s="239"/>
      <c r="H27" s="239"/>
      <c r="I27" s="239"/>
      <c r="J27" s="239"/>
    </row>
    <row r="28">
      <c r="A28" s="239"/>
      <c r="B28" s="244"/>
      <c r="C28" s="239"/>
      <c r="D28" s="241"/>
      <c r="E28" s="239"/>
      <c r="F28" s="239"/>
      <c r="G28" s="239"/>
      <c r="H28" s="239"/>
      <c r="I28" s="239"/>
      <c r="J28" s="239"/>
    </row>
    <row r="29">
      <c r="A29" s="239"/>
      <c r="B29" s="239"/>
      <c r="C29" s="239"/>
      <c r="D29" s="241"/>
      <c r="E29" s="239"/>
      <c r="F29" s="239"/>
      <c r="G29" s="239"/>
      <c r="H29" s="239"/>
      <c r="I29" s="239"/>
      <c r="J29" s="239"/>
    </row>
    <row r="30">
      <c r="A30" s="239"/>
      <c r="B30" s="244"/>
      <c r="C30" s="239"/>
      <c r="D30" s="241"/>
      <c r="E30" s="239"/>
      <c r="F30" s="239"/>
      <c r="G30" s="239"/>
      <c r="H30" s="239"/>
      <c r="I30" s="239"/>
      <c r="J30" s="239"/>
    </row>
    <row r="31">
      <c r="A31" s="239"/>
      <c r="B31" s="244"/>
      <c r="C31" s="239"/>
      <c r="D31" s="241"/>
      <c r="E31" s="239"/>
      <c r="F31" s="239"/>
      <c r="G31" s="239"/>
      <c r="H31" s="239"/>
      <c r="I31" s="239"/>
      <c r="J31" s="239"/>
    </row>
    <row r="32">
      <c r="A32" s="239"/>
      <c r="B32" s="239"/>
      <c r="C32" s="239"/>
      <c r="D32" s="241"/>
      <c r="E32" s="239"/>
      <c r="F32" s="239"/>
      <c r="G32" s="239"/>
      <c r="H32" s="239"/>
      <c r="I32" s="239"/>
      <c r="J32" s="239"/>
    </row>
    <row r="33">
      <c r="A33" s="239"/>
      <c r="B33" s="239"/>
      <c r="C33" s="239"/>
      <c r="D33" s="241"/>
      <c r="E33" s="239"/>
      <c r="F33" s="239"/>
      <c r="G33" s="239"/>
      <c r="H33" s="239"/>
      <c r="I33" s="239"/>
      <c r="J33" s="239"/>
    </row>
    <row r="34">
      <c r="A34" s="239"/>
      <c r="B34" s="239"/>
      <c r="C34" s="239"/>
      <c r="D34" s="241"/>
      <c r="E34" s="239"/>
      <c r="F34" s="239"/>
      <c r="G34" s="239"/>
      <c r="H34" s="239"/>
      <c r="I34" s="239"/>
      <c r="J34" s="239"/>
    </row>
    <row r="35">
      <c r="A35" s="239"/>
      <c r="B35" s="239"/>
      <c r="C35" s="239"/>
      <c r="D35" s="239"/>
      <c r="E35" s="239"/>
      <c r="F35" s="239"/>
      <c r="G35" s="239"/>
      <c r="H35" s="239"/>
      <c r="I35" s="239"/>
      <c r="J35" s="239"/>
    </row>
    <row r="36">
      <c r="A36" s="239"/>
      <c r="B36" s="239"/>
      <c r="C36" s="239"/>
      <c r="D36" s="241"/>
      <c r="E36" s="239"/>
      <c r="F36" s="239"/>
      <c r="G36" s="239"/>
      <c r="H36" s="239"/>
      <c r="I36" s="239"/>
      <c r="J36" s="239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32.14"/>
    <col customWidth="1" min="3" max="3" width="12.57"/>
    <col customWidth="1" min="4" max="4" width="17.43"/>
    <col customWidth="1" min="5" max="5" width="14.71"/>
    <col customWidth="1" min="6" max="6" width="18.86"/>
    <col customWidth="1" min="7" max="7" width="19.0"/>
    <col customWidth="1" min="8" max="8" width="19.86"/>
    <col customWidth="1" min="9" max="9" width="13.57"/>
    <col customWidth="1" min="10" max="10" width="12.86"/>
    <col customWidth="1" min="11" max="11" width="5.71"/>
    <col customWidth="1" min="12" max="12" width="23.57"/>
    <col customWidth="1" min="13" max="13" width="18.14"/>
    <col customWidth="1" min="14" max="14" width="17.57"/>
  </cols>
  <sheetData>
    <row r="1" ht="15.75" customHeight="1">
      <c r="A1" s="22"/>
    </row>
    <row r="2" ht="15.75" customHeight="1">
      <c r="B2" s="245" t="s">
        <v>244</v>
      </c>
      <c r="C2" s="85"/>
      <c r="D2" s="85"/>
      <c r="E2" s="85"/>
      <c r="F2" s="85"/>
      <c r="G2" s="85"/>
      <c r="H2" s="85"/>
      <c r="I2" s="85" t="s">
        <v>245</v>
      </c>
    </row>
    <row r="3" ht="27.75" customHeight="1">
      <c r="B3" s="246" t="s">
        <v>246</v>
      </c>
      <c r="C3" s="246" t="s">
        <v>247</v>
      </c>
      <c r="D3" s="246" t="s">
        <v>248</v>
      </c>
      <c r="E3" s="246" t="s">
        <v>249</v>
      </c>
      <c r="F3" s="246" t="s">
        <v>250</v>
      </c>
      <c r="G3" s="246" t="s">
        <v>251</v>
      </c>
      <c r="H3" s="246" t="s">
        <v>252</v>
      </c>
      <c r="I3" s="22" t="s">
        <v>253</v>
      </c>
      <c r="J3" s="247" t="s">
        <v>155</v>
      </c>
    </row>
    <row r="4" ht="15.75" customHeight="1">
      <c r="B4" s="61" t="s">
        <v>254</v>
      </c>
      <c r="C4" s="62">
        <v>0.0</v>
      </c>
      <c r="D4" s="61">
        <f>M6*(1+feriepengesats)*M15</f>
        <v>2587.2</v>
      </c>
      <c r="E4" s="61">
        <f t="shared" ref="E4:E5" si="1">D4*2*C4</f>
        <v>0</v>
      </c>
      <c r="F4" s="61">
        <v>12.0</v>
      </c>
      <c r="G4" s="61">
        <v>0.0</v>
      </c>
      <c r="H4" s="61">
        <f>(E16*F4+G4*F16)*C4</f>
        <v>0</v>
      </c>
      <c r="I4" s="22">
        <f t="shared" ref="I4:I10" si="2">H4*0.9825</f>
        <v>0</v>
      </c>
      <c r="J4" s="248">
        <f t="shared" ref="J4:J10" si="3">I4-E4</f>
        <v>0</v>
      </c>
      <c r="L4" s="249" t="s">
        <v>255</v>
      </c>
      <c r="M4" s="250"/>
      <c r="N4" s="250"/>
    </row>
    <row r="5" ht="15.75" customHeight="1">
      <c r="B5" s="62" t="s">
        <v>256</v>
      </c>
      <c r="C5" s="62">
        <v>1.0</v>
      </c>
      <c r="D5" s="61">
        <f>230*(1+feriepengesats)*M16</f>
        <v>3348.8</v>
      </c>
      <c r="E5" s="61">
        <f t="shared" si="1"/>
        <v>6697.6</v>
      </c>
      <c r="F5" s="61">
        <v>7.0</v>
      </c>
      <c r="G5" s="61">
        <v>3.0</v>
      </c>
      <c r="H5" s="61">
        <f t="shared" ref="H5:H6" si="4">(G17*F5+H17*G5)*C5</f>
        <v>20800</v>
      </c>
      <c r="I5" s="22">
        <f t="shared" si="2"/>
        <v>20436</v>
      </c>
      <c r="J5" s="248">
        <f t="shared" si="3"/>
        <v>13738.4</v>
      </c>
      <c r="L5" s="251" t="s">
        <v>246</v>
      </c>
      <c r="M5" s="252" t="s">
        <v>257</v>
      </c>
      <c r="N5" s="253" t="s">
        <v>258</v>
      </c>
    </row>
    <row r="6" ht="15.75" customHeight="1">
      <c r="B6" s="62" t="s">
        <v>259</v>
      </c>
      <c r="C6" s="73">
        <v>1.0</v>
      </c>
      <c r="D6" s="61">
        <f>M7*(1+feriepengesats)*M17</f>
        <v>1075.2</v>
      </c>
      <c r="E6" s="61">
        <f t="shared" ref="E6:E9" si="5">D6*C6</f>
        <v>1075.2</v>
      </c>
      <c r="F6" s="73">
        <v>5.0</v>
      </c>
      <c r="G6" s="73">
        <v>1.0</v>
      </c>
      <c r="H6" s="61">
        <f t="shared" si="4"/>
        <v>3300</v>
      </c>
      <c r="I6" s="22">
        <f t="shared" si="2"/>
        <v>3242.25</v>
      </c>
      <c r="J6" s="248">
        <f t="shared" si="3"/>
        <v>2167.05</v>
      </c>
      <c r="L6" s="227" t="s">
        <v>260</v>
      </c>
      <c r="M6" s="254">
        <v>210.0</v>
      </c>
      <c r="N6" s="255"/>
    </row>
    <row r="7" ht="15.75" customHeight="1">
      <c r="B7" s="256" t="s">
        <v>261</v>
      </c>
      <c r="C7" s="62">
        <v>0.5</v>
      </c>
      <c r="D7" s="256">
        <f>M8*(1+feriepengesats)*M18</f>
        <v>3763.2</v>
      </c>
      <c r="E7" s="61">
        <f t="shared" si="5"/>
        <v>1881.6</v>
      </c>
      <c r="F7" s="257">
        <v>3.0</v>
      </c>
      <c r="G7" s="256">
        <v>1.0</v>
      </c>
      <c r="H7" s="256">
        <f t="shared" ref="H7:H8" si="6">(F7*G19*C7)+(C7*G7*H19)</f>
        <v>6100</v>
      </c>
      <c r="I7" s="22">
        <f t="shared" si="2"/>
        <v>5993.25</v>
      </c>
      <c r="J7" s="248">
        <f t="shared" si="3"/>
        <v>4111.65</v>
      </c>
      <c r="L7" s="227" t="s">
        <v>262</v>
      </c>
      <c r="M7" s="69">
        <v>240.0</v>
      </c>
      <c r="N7" s="258">
        <v>220.0</v>
      </c>
      <c r="O7" s="259" t="s">
        <v>263</v>
      </c>
      <c r="P7" s="259"/>
      <c r="Q7" s="259"/>
    </row>
    <row r="8" ht="15.75" customHeight="1">
      <c r="B8" s="22" t="s">
        <v>264</v>
      </c>
      <c r="C8" s="62">
        <v>0.5</v>
      </c>
      <c r="D8" s="61">
        <f>M8*(1+feriepengesats)*M19</f>
        <v>4569.6</v>
      </c>
      <c r="E8" s="61">
        <f t="shared" si="5"/>
        <v>2284.8</v>
      </c>
      <c r="F8" s="68">
        <v>3.0</v>
      </c>
      <c r="G8" s="22">
        <v>1.0</v>
      </c>
      <c r="H8" s="256">
        <f t="shared" si="6"/>
        <v>6650</v>
      </c>
      <c r="I8" s="22">
        <f t="shared" si="2"/>
        <v>6533.625</v>
      </c>
      <c r="J8" s="248">
        <f t="shared" si="3"/>
        <v>4248.825</v>
      </c>
      <c r="L8" s="227" t="s">
        <v>265</v>
      </c>
      <c r="M8" s="69">
        <v>240.0</v>
      </c>
      <c r="N8" s="260">
        <v>240.0</v>
      </c>
    </row>
    <row r="9" ht="15.75" customHeight="1">
      <c r="B9" s="256" t="s">
        <v>266</v>
      </c>
      <c r="C9" s="62">
        <v>2.0</v>
      </c>
      <c r="D9" s="256">
        <f>230*(1+feriepengesats)*17</f>
        <v>4379.2</v>
      </c>
      <c r="E9" s="61">
        <f t="shared" si="5"/>
        <v>8758.4</v>
      </c>
      <c r="F9" s="256"/>
      <c r="G9" s="257">
        <v>5.0</v>
      </c>
      <c r="H9" s="256">
        <f>(G21*F9+G9*H21)*C9</f>
        <v>27000</v>
      </c>
      <c r="I9" s="22">
        <f t="shared" si="2"/>
        <v>26527.5</v>
      </c>
      <c r="J9" s="248">
        <f t="shared" si="3"/>
        <v>17769.1</v>
      </c>
      <c r="L9" s="261" t="s">
        <v>267</v>
      </c>
      <c r="M9" s="262">
        <v>240.0</v>
      </c>
      <c r="N9" s="263">
        <v>220.0</v>
      </c>
    </row>
    <row r="10" ht="15.75" customHeight="1">
      <c r="B10" s="22" t="s">
        <v>268</v>
      </c>
      <c r="C10" s="61">
        <v>1.0</v>
      </c>
      <c r="D10" s="256">
        <f>M9*(1+feriepengesats)*M21</f>
        <v>3225.6</v>
      </c>
      <c r="E10" s="61">
        <f>D10*2*C10</f>
        <v>6451.2</v>
      </c>
      <c r="F10" s="22">
        <v>7.0</v>
      </c>
      <c r="H10" s="22">
        <f>F10*G22</f>
        <v>14000</v>
      </c>
      <c r="I10" s="29">
        <f t="shared" si="2"/>
        <v>13755</v>
      </c>
      <c r="J10" s="248">
        <f t="shared" si="3"/>
        <v>7303.8</v>
      </c>
      <c r="L10" s="264"/>
      <c r="M10" s="265"/>
      <c r="N10" s="264"/>
    </row>
    <row r="11" ht="15.75" customHeight="1">
      <c r="B11" s="266" t="s">
        <v>132</v>
      </c>
      <c r="C11" s="266"/>
      <c r="D11" s="266"/>
      <c r="E11" s="266">
        <f>SUM(E4:E10)</f>
        <v>27148.8</v>
      </c>
      <c r="F11" s="266"/>
      <c r="G11" s="266"/>
      <c r="H11" s="266">
        <f t="shared" ref="H11:I11" si="7">SUM(H4:H10)</f>
        <v>77850</v>
      </c>
      <c r="I11" s="267">
        <f t="shared" si="7"/>
        <v>76487.625</v>
      </c>
      <c r="J11" s="268">
        <f>SUM(J4:J9)</f>
        <v>42035.025</v>
      </c>
    </row>
    <row r="12" ht="15.75" customHeight="1"/>
    <row r="13" ht="15.75" customHeight="1">
      <c r="L13" s="73" t="s">
        <v>269</v>
      </c>
    </row>
    <row r="14" ht="15.75" customHeight="1">
      <c r="B14" s="269" t="s">
        <v>270</v>
      </c>
      <c r="L14" s="270" t="s">
        <v>246</v>
      </c>
      <c r="M14" s="115" t="s">
        <v>271</v>
      </c>
      <c r="N14" s="53"/>
    </row>
    <row r="15" ht="33.75" customHeight="1">
      <c r="B15" s="271" t="s">
        <v>246</v>
      </c>
      <c r="C15" s="272" t="s">
        <v>272</v>
      </c>
      <c r="D15" s="272" t="s">
        <v>273</v>
      </c>
      <c r="E15" s="272" t="s">
        <v>274</v>
      </c>
      <c r="F15" s="272" t="s">
        <v>275</v>
      </c>
      <c r="G15" s="272" t="s">
        <v>276</v>
      </c>
      <c r="H15" s="272" t="s">
        <v>277</v>
      </c>
      <c r="I15" s="272" t="s">
        <v>278</v>
      </c>
      <c r="L15" s="227" t="s">
        <v>260</v>
      </c>
      <c r="M15" s="115">
        <v>11.0</v>
      </c>
      <c r="N15" s="53">
        <v>2.5</v>
      </c>
    </row>
    <row r="16" ht="15.75" customHeight="1">
      <c r="B16" s="61" t="s">
        <v>254</v>
      </c>
      <c r="C16" s="61">
        <v>1100.0</v>
      </c>
      <c r="D16" s="61">
        <v>1500.0</v>
      </c>
      <c r="E16" s="61">
        <v>1200.0</v>
      </c>
      <c r="F16" s="61">
        <v>1600.0</v>
      </c>
      <c r="L16" s="273" t="s">
        <v>256</v>
      </c>
      <c r="M16" s="22">
        <v>13.0</v>
      </c>
      <c r="N16" s="189"/>
    </row>
    <row r="17" ht="15.75" customHeight="1">
      <c r="B17" s="62" t="s">
        <v>256</v>
      </c>
      <c r="G17" s="62">
        <v>1900.0</v>
      </c>
      <c r="H17" s="62">
        <v>2500.0</v>
      </c>
      <c r="I17" s="61"/>
      <c r="L17" s="273" t="s">
        <v>259</v>
      </c>
      <c r="M17" s="73">
        <v>4.0</v>
      </c>
      <c r="N17" s="180"/>
    </row>
    <row r="18" ht="15.75" customHeight="1">
      <c r="B18" s="73" t="s">
        <v>259</v>
      </c>
      <c r="G18" s="73">
        <v>500.0</v>
      </c>
      <c r="H18" s="73">
        <v>800.0</v>
      </c>
      <c r="I18" s="73" t="s">
        <v>279</v>
      </c>
      <c r="L18" s="227" t="s">
        <v>280</v>
      </c>
      <c r="M18" s="22">
        <v>14.0</v>
      </c>
      <c r="N18" s="189"/>
    </row>
    <row r="19" ht="15.75" customHeight="1">
      <c r="B19" s="61" t="s">
        <v>261</v>
      </c>
      <c r="D19" s="22"/>
      <c r="E19" s="22"/>
      <c r="G19" s="61">
        <v>2900.0</v>
      </c>
      <c r="H19" s="61">
        <v>3500.0</v>
      </c>
      <c r="I19" s="22" t="s">
        <v>281</v>
      </c>
      <c r="L19" s="274" t="s">
        <v>282</v>
      </c>
      <c r="M19" s="22">
        <v>17.0</v>
      </c>
      <c r="N19" s="189"/>
    </row>
    <row r="20" ht="15.75" customHeight="1">
      <c r="B20" s="22" t="s">
        <v>264</v>
      </c>
      <c r="F20" s="22"/>
      <c r="G20" s="22">
        <v>3100.0</v>
      </c>
      <c r="H20" s="22">
        <v>4000.0</v>
      </c>
      <c r="I20" s="22" t="s">
        <v>281</v>
      </c>
      <c r="L20" s="227" t="s">
        <v>267</v>
      </c>
      <c r="M20" s="22">
        <v>18.0</v>
      </c>
      <c r="N20" s="189">
        <v>16.0</v>
      </c>
    </row>
    <row r="21" ht="15.75" customHeight="1">
      <c r="B21" s="61" t="s">
        <v>266</v>
      </c>
      <c r="G21" s="62">
        <v>2700.0</v>
      </c>
      <c r="H21" s="62">
        <v>2700.0</v>
      </c>
      <c r="L21" s="275" t="s">
        <v>268</v>
      </c>
      <c r="M21" s="29">
        <v>12.0</v>
      </c>
      <c r="N21" s="233"/>
    </row>
    <row r="22" ht="15.75" customHeight="1">
      <c r="B22" s="22" t="s">
        <v>268</v>
      </c>
      <c r="G22" s="22">
        <v>2000.0</v>
      </c>
      <c r="H22" s="22">
        <v>3000.0</v>
      </c>
      <c r="I22" s="22"/>
    </row>
    <row r="23" ht="15.75" customHeight="1"/>
    <row r="24" ht="15.75" customHeight="1">
      <c r="B24" s="61"/>
      <c r="E24" s="22"/>
      <c r="F24" s="22"/>
      <c r="G24" s="22"/>
      <c r="H24" s="22"/>
      <c r="I24" s="75"/>
    </row>
    <row r="25" ht="15.75" customHeight="1">
      <c r="B25" s="276" t="s">
        <v>283</v>
      </c>
      <c r="C25" s="276"/>
      <c r="D25" s="276"/>
      <c r="E25" s="276"/>
      <c r="F25" s="22" t="s">
        <v>284</v>
      </c>
      <c r="G25" s="22"/>
      <c r="M25" s="22"/>
    </row>
    <row r="26" ht="15.75" customHeight="1">
      <c r="B26" s="277" t="s">
        <v>285</v>
      </c>
      <c r="C26" s="277" t="s">
        <v>286</v>
      </c>
      <c r="D26" s="277" t="s">
        <v>287</v>
      </c>
      <c r="E26" s="277" t="s">
        <v>113</v>
      </c>
      <c r="F26" s="239"/>
      <c r="G26" s="73"/>
      <c r="I26" s="278"/>
      <c r="J26" s="278"/>
      <c r="L26" s="279"/>
      <c r="M26" s="279"/>
      <c r="N26" s="264"/>
    </row>
    <row r="27" ht="15.75" customHeight="1">
      <c r="B27" s="68" t="s">
        <v>288</v>
      </c>
      <c r="C27" s="68">
        <v>2.0</v>
      </c>
      <c r="D27" s="68">
        <v>15000.0</v>
      </c>
      <c r="E27" s="68">
        <f t="shared" ref="E27:E29" si="8">C27*D27</f>
        <v>30000</v>
      </c>
      <c r="F27" s="239"/>
      <c r="G27" s="62"/>
      <c r="L27" s="280"/>
      <c r="M27" s="281"/>
      <c r="N27" s="264"/>
    </row>
    <row r="28" ht="15.75" customHeight="1">
      <c r="B28" s="22" t="s">
        <v>289</v>
      </c>
      <c r="C28" s="68">
        <v>2.0</v>
      </c>
      <c r="D28" s="22">
        <v>2500.0</v>
      </c>
      <c r="E28" s="22">
        <f t="shared" si="8"/>
        <v>5000</v>
      </c>
      <c r="F28" s="240"/>
      <c r="L28" s="264"/>
      <c r="M28" s="265"/>
      <c r="N28" s="264"/>
    </row>
    <row r="29" ht="15.75" customHeight="1">
      <c r="B29" s="22" t="s">
        <v>290</v>
      </c>
      <c r="C29" s="22">
        <v>2.0</v>
      </c>
      <c r="D29" s="22">
        <v>1250.0</v>
      </c>
      <c r="E29" s="22">
        <f t="shared" si="8"/>
        <v>2500</v>
      </c>
      <c r="F29" s="239"/>
      <c r="G29" s="61"/>
      <c r="L29" s="264"/>
      <c r="M29" s="71"/>
      <c r="N29" s="264"/>
    </row>
    <row r="30" ht="15.75" customHeight="1">
      <c r="B30" s="115" t="s">
        <v>132</v>
      </c>
      <c r="C30" s="115"/>
      <c r="D30" s="115"/>
      <c r="E30" s="115">
        <f>SUM(E27:E29)</f>
        <v>37500</v>
      </c>
      <c r="F30" s="282"/>
      <c r="G30" s="22"/>
      <c r="L30" s="264"/>
      <c r="M30" s="71"/>
      <c r="N30" s="264"/>
    </row>
    <row r="31" ht="15.75" customHeight="1">
      <c r="B31" s="283"/>
      <c r="C31" s="283"/>
      <c r="D31" s="283"/>
      <c r="E31" s="283"/>
      <c r="F31" s="239"/>
      <c r="G31" s="61"/>
      <c r="L31" s="264"/>
      <c r="M31" s="265"/>
      <c r="N31" s="264"/>
    </row>
    <row r="32" ht="15.75" customHeight="1">
      <c r="B32" s="22" t="s">
        <v>291</v>
      </c>
      <c r="C32" s="22"/>
      <c r="D32" s="22"/>
      <c r="F32" s="284"/>
      <c r="G32" s="22"/>
    </row>
    <row r="33" ht="15.75" customHeight="1">
      <c r="B33" s="68" t="s">
        <v>292</v>
      </c>
      <c r="C33" s="22"/>
      <c r="D33" s="22"/>
      <c r="F33" s="239"/>
    </row>
    <row r="34" ht="15.75" customHeight="1">
      <c r="B34" s="22" t="s">
        <v>293</v>
      </c>
      <c r="C34" s="22"/>
      <c r="D34" s="22"/>
      <c r="E34" s="73"/>
      <c r="F34" s="239"/>
      <c r="G34" s="285"/>
    </row>
    <row r="35" ht="15.75" customHeight="1">
      <c r="B35" s="22"/>
      <c r="C35" s="22"/>
      <c r="D35" s="22"/>
      <c r="F35" s="239"/>
      <c r="G35" s="239"/>
    </row>
    <row r="36" ht="15.75" customHeight="1">
      <c r="C36" s="22"/>
      <c r="D36" s="22"/>
      <c r="F36" s="239"/>
      <c r="G36" s="286"/>
    </row>
    <row r="37" ht="15.75" customHeight="1">
      <c r="B37" s="22"/>
      <c r="C37" s="22"/>
      <c r="D37" s="22"/>
      <c r="F37" s="239"/>
      <c r="G37" s="285"/>
    </row>
    <row r="38" ht="45.0" customHeight="1">
      <c r="B38" s="73"/>
      <c r="C38" s="285"/>
      <c r="F38" s="239"/>
      <c r="G38" s="287"/>
    </row>
    <row r="39" ht="15.75" customHeight="1">
      <c r="B39" s="239"/>
      <c r="C39" s="239"/>
      <c r="E39" s="288"/>
      <c r="F39" s="239"/>
      <c r="G39" s="241"/>
    </row>
    <row r="40" ht="15.75" customHeight="1">
      <c r="B40" s="239"/>
      <c r="C40" s="239"/>
      <c r="E40" s="239"/>
      <c r="F40" s="239"/>
      <c r="G40" s="239"/>
    </row>
    <row r="41" ht="15.75" customHeight="1">
      <c r="B41" s="239"/>
      <c r="C41" s="285"/>
      <c r="E41" s="239"/>
      <c r="F41" s="239"/>
      <c r="G41" s="285"/>
    </row>
    <row r="42" ht="15.75" customHeight="1">
      <c r="B42" s="22"/>
      <c r="C42" s="22"/>
      <c r="D42" s="22"/>
      <c r="E42" s="22"/>
      <c r="F42" s="22"/>
      <c r="G42" s="22"/>
    </row>
    <row r="43" ht="15.75" customHeight="1">
      <c r="H43" s="22"/>
      <c r="I43" s="22"/>
    </row>
    <row r="44" ht="15.75" customHeight="1">
      <c r="B44" s="277" t="s">
        <v>294</v>
      </c>
      <c r="C44" s="277"/>
      <c r="H44" s="239"/>
      <c r="I44" s="22"/>
    </row>
    <row r="45" ht="15.75" customHeight="1">
      <c r="B45" s="277" t="s">
        <v>295</v>
      </c>
      <c r="C45" s="277">
        <f>E11*Treningsbudsjett!F20+C36*Treningsbudsjett!F20</f>
        <v>24240</v>
      </c>
      <c r="H45" s="239"/>
      <c r="I45" s="22"/>
    </row>
    <row r="46" ht="15.75" customHeight="1">
      <c r="B46" s="277" t="s">
        <v>296</v>
      </c>
      <c r="C46" s="277">
        <f>E11*(1-Treningsbudsjett!F20)+C36*(1-Treningsbudsjett!F20)</f>
        <v>2908.8</v>
      </c>
      <c r="I46" s="22"/>
    </row>
    <row r="47" ht="15.75" customHeight="1">
      <c r="B47" s="22" t="s">
        <v>202</v>
      </c>
      <c r="C47" s="289">
        <f>C45+C46-C36-E11</f>
        <v>0</v>
      </c>
      <c r="I47" s="22"/>
    </row>
    <row r="48" ht="15.75" customHeight="1">
      <c r="I48" s="22"/>
    </row>
    <row r="49" ht="15.75" customHeight="1">
      <c r="I49" s="22"/>
    </row>
    <row r="50" ht="41.25" customHeight="1">
      <c r="I50" s="22"/>
    </row>
    <row r="51" ht="15.75" customHeight="1">
      <c r="I51" s="22"/>
    </row>
    <row r="52" ht="15.75" customHeight="1">
      <c r="I52" s="22"/>
    </row>
    <row r="53" ht="15.75" customHeight="1">
      <c r="H53" s="239"/>
      <c r="I53" s="22"/>
    </row>
    <row r="54" ht="15.75" customHeight="1">
      <c r="I54" s="22"/>
    </row>
    <row r="55" ht="15.75" customHeight="1">
      <c r="I55" s="22"/>
    </row>
    <row r="56" ht="15.75" customHeight="1">
      <c r="I56" s="22"/>
    </row>
    <row r="57" ht="21.0" customHeight="1">
      <c r="I57" s="22"/>
    </row>
    <row r="58" ht="15.75" customHeight="1">
      <c r="I58" s="22"/>
    </row>
    <row r="59" ht="15.75" customHeight="1">
      <c r="I59" s="22"/>
    </row>
    <row r="60" ht="15.75" customHeight="1">
      <c r="H60" s="22"/>
      <c r="I60" s="22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2" max="2" width="35.14"/>
  </cols>
  <sheetData>
    <row r="2">
      <c r="A2" s="290" t="s">
        <v>297</v>
      </c>
    </row>
    <row r="3">
      <c r="A3" s="22" t="s">
        <v>298</v>
      </c>
      <c r="C3" s="68">
        <v>500.0</v>
      </c>
      <c r="F3" s="75"/>
    </row>
    <row r="4">
      <c r="A4" s="61" t="s">
        <v>299</v>
      </c>
      <c r="C4" s="62">
        <v>770.0</v>
      </c>
      <c r="F4" s="61"/>
      <c r="H4" s="61"/>
    </row>
    <row r="5">
      <c r="A5" s="61" t="s">
        <v>300</v>
      </c>
      <c r="B5" s="22"/>
      <c r="C5" s="62">
        <v>977.0</v>
      </c>
      <c r="D5" s="22"/>
      <c r="G5" s="75"/>
    </row>
    <row r="6">
      <c r="A6" s="62" t="s">
        <v>301</v>
      </c>
      <c r="C6" s="62">
        <v>3093.0</v>
      </c>
    </row>
    <row r="7">
      <c r="A7" s="61" t="s">
        <v>302</v>
      </c>
      <c r="C7" s="62">
        <v>949.0</v>
      </c>
    </row>
    <row r="8">
      <c r="A8" s="61" t="s">
        <v>303</v>
      </c>
      <c r="C8" s="62">
        <v>413.0</v>
      </c>
    </row>
    <row r="9">
      <c r="A9" s="61" t="s">
        <v>304</v>
      </c>
      <c r="C9" s="62">
        <v>942.0</v>
      </c>
    </row>
    <row r="10">
      <c r="A10" s="61" t="s">
        <v>305</v>
      </c>
      <c r="B10" s="14"/>
      <c r="C10" s="61">
        <v>10000.0</v>
      </c>
    </row>
    <row r="11">
      <c r="A11" s="291" t="s">
        <v>132</v>
      </c>
      <c r="B11" s="115"/>
      <c r="C11" s="291">
        <f>SUM(C3:C10)</f>
        <v>17644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0.57"/>
    <col customWidth="1" min="3" max="3" width="13.43"/>
  </cols>
  <sheetData>
    <row r="1">
      <c r="B1" s="61"/>
    </row>
    <row r="2">
      <c r="B2" s="61" t="s">
        <v>306</v>
      </c>
      <c r="D2" s="61"/>
      <c r="F2" s="61"/>
    </row>
    <row r="3">
      <c r="B3" s="61"/>
      <c r="D3" s="61"/>
      <c r="F3" s="22"/>
    </row>
    <row r="4">
      <c r="B4" s="292" t="s">
        <v>307</v>
      </c>
      <c r="C4" s="115"/>
      <c r="D4" s="115"/>
      <c r="E4" s="115"/>
      <c r="F4" s="53"/>
    </row>
    <row r="5">
      <c r="B5" s="293"/>
      <c r="C5" s="22"/>
      <c r="D5" s="61"/>
      <c r="F5" s="189"/>
    </row>
    <row r="6">
      <c r="B6" s="294" t="s">
        <v>308</v>
      </c>
      <c r="C6" s="22"/>
      <c r="D6" s="22"/>
      <c r="F6" s="189"/>
    </row>
    <row r="7">
      <c r="B7" s="295" t="s">
        <v>309</v>
      </c>
      <c r="C7" s="22">
        <v>30000.0</v>
      </c>
      <c r="D7" s="22"/>
      <c r="E7" s="22"/>
      <c r="F7" s="189"/>
      <c r="K7" s="75"/>
      <c r="L7" s="75"/>
      <c r="M7" s="75"/>
    </row>
    <row r="8">
      <c r="B8" s="274"/>
      <c r="C8" s="22"/>
      <c r="D8" s="22"/>
      <c r="F8" s="189"/>
    </row>
    <row r="9">
      <c r="B9" s="274"/>
      <c r="F9" s="189"/>
    </row>
    <row r="10">
      <c r="B10" s="292" t="s">
        <v>132</v>
      </c>
      <c r="C10" s="222">
        <f>SUM(C5:C9)</f>
        <v>30000</v>
      </c>
      <c r="D10" s="29"/>
      <c r="E10" s="29"/>
      <c r="F10" s="233"/>
    </row>
    <row r="13">
      <c r="B13" s="296" t="s">
        <v>310</v>
      </c>
      <c r="C13" s="53"/>
    </row>
    <row r="14">
      <c r="B14" s="274" t="s">
        <v>311</v>
      </c>
      <c r="C14" s="189">
        <v>10000.0</v>
      </c>
    </row>
    <row r="15">
      <c r="B15" s="274" t="s">
        <v>312</v>
      </c>
      <c r="C15" s="189">
        <v>4000.0</v>
      </c>
    </row>
    <row r="16">
      <c r="B16" s="297" t="s">
        <v>313</v>
      </c>
      <c r="C16" s="298">
        <v>5000.0</v>
      </c>
      <c r="F16" s="277"/>
    </row>
    <row r="17">
      <c r="B17" s="275" t="s">
        <v>138</v>
      </c>
      <c r="C17" s="233">
        <f>SUM(C14:C16)</f>
        <v>19000</v>
      </c>
    </row>
    <row r="20">
      <c r="B20" s="299" t="s">
        <v>314</v>
      </c>
      <c r="C20" s="115"/>
      <c r="D20" s="53"/>
      <c r="E20" s="22"/>
      <c r="F20" s="22"/>
      <c r="G20" s="22"/>
    </row>
    <row r="21" ht="15.75" customHeight="1">
      <c r="B21" s="227" t="s">
        <v>315</v>
      </c>
      <c r="D21" s="189">
        <v>19000.0</v>
      </c>
      <c r="E21" s="22"/>
      <c r="K21" s="239"/>
      <c r="L21" s="239"/>
      <c r="M21" s="239"/>
      <c r="N21" s="239"/>
    </row>
    <row r="22" ht="15.75" customHeight="1">
      <c r="B22" s="227" t="s">
        <v>316</v>
      </c>
      <c r="D22" s="189">
        <v>9000.0</v>
      </c>
      <c r="E22" s="22"/>
      <c r="K22" s="239"/>
      <c r="L22" s="300"/>
      <c r="M22" s="239"/>
      <c r="N22" s="239"/>
    </row>
    <row r="23" ht="15.75" customHeight="1">
      <c r="B23" s="227" t="s">
        <v>317</v>
      </c>
      <c r="D23" s="189">
        <f>265*4</f>
        <v>1060</v>
      </c>
      <c r="E23" s="22"/>
      <c r="K23" s="239"/>
      <c r="L23" s="239"/>
      <c r="M23" s="239"/>
      <c r="N23" s="239"/>
    </row>
    <row r="24" ht="15.75" customHeight="1">
      <c r="B24" s="261" t="s">
        <v>318</v>
      </c>
      <c r="C24" s="29"/>
      <c r="D24" s="233">
        <v>250.0</v>
      </c>
      <c r="E24" s="22"/>
      <c r="K24" s="239"/>
      <c r="L24" s="239"/>
      <c r="M24" s="239"/>
      <c r="N24" s="239"/>
    </row>
    <row r="25" ht="15.75" customHeight="1">
      <c r="B25" s="275" t="s">
        <v>138</v>
      </c>
      <c r="C25" s="29"/>
      <c r="D25" s="233">
        <f>SUM(D21:D24)</f>
        <v>29310</v>
      </c>
      <c r="K25" s="239"/>
      <c r="L25" s="265"/>
      <c r="M25" s="239"/>
      <c r="N25" s="264"/>
    </row>
    <row r="26" ht="15.75" customHeight="1">
      <c r="K26" s="239"/>
      <c r="L26" s="71"/>
      <c r="M26" s="239"/>
      <c r="N26" s="301"/>
    </row>
    <row r="27" ht="15.75" customHeight="1">
      <c r="B27" s="22" t="s">
        <v>319</v>
      </c>
      <c r="K27" s="239"/>
      <c r="L27" s="71"/>
      <c r="M27" s="239"/>
      <c r="N27" s="301"/>
    </row>
    <row r="28" ht="15.75" customHeight="1">
      <c r="B28" s="22" t="s">
        <v>320</v>
      </c>
      <c r="K28" s="239"/>
      <c r="L28" s="301"/>
      <c r="M28" s="239"/>
      <c r="N28" s="301"/>
    </row>
    <row r="29" ht="15.75" customHeight="1">
      <c r="K29" s="239"/>
      <c r="L29" s="301"/>
      <c r="M29" s="239"/>
      <c r="N29" s="301"/>
    </row>
    <row r="30" ht="15.75" customHeight="1">
      <c r="B30" s="292" t="s">
        <v>321</v>
      </c>
      <c r="C30" s="53"/>
      <c r="K30" s="239"/>
      <c r="L30" s="239"/>
      <c r="M30" s="239"/>
      <c r="N30" s="301"/>
    </row>
    <row r="31" ht="15.75" customHeight="1">
      <c r="B31" s="274" t="s">
        <v>322</v>
      </c>
      <c r="C31" s="302">
        <f>(361500/52*47)</f>
        <v>326740.3846</v>
      </c>
      <c r="K31" s="239"/>
      <c r="L31" s="239"/>
      <c r="M31" s="239"/>
      <c r="N31" s="301"/>
    </row>
    <row r="32" ht="15.75" customHeight="1">
      <c r="B32" s="275" t="s">
        <v>323</v>
      </c>
      <c r="C32" s="233">
        <v>15000.0</v>
      </c>
      <c r="D32" s="22" t="s">
        <v>324</v>
      </c>
      <c r="K32" s="239"/>
      <c r="L32" s="239"/>
      <c r="M32" s="239"/>
      <c r="N32" s="301"/>
    </row>
    <row r="33" ht="15.75" customHeight="1">
      <c r="B33" s="275" t="s">
        <v>325</v>
      </c>
      <c r="C33" s="303">
        <f>SUM(C31:C32)</f>
        <v>341740.3846</v>
      </c>
      <c r="K33" s="239"/>
      <c r="L33" s="239"/>
      <c r="M33" s="239"/>
      <c r="N33" s="301"/>
    </row>
    <row r="34" ht="15.75" customHeight="1">
      <c r="B34" s="274"/>
      <c r="C34" s="189"/>
      <c r="D34" s="22"/>
      <c r="K34" s="239"/>
      <c r="L34" s="239"/>
      <c r="M34" s="239"/>
      <c r="N34" s="301"/>
    </row>
    <row r="35" ht="15.75" customHeight="1">
      <c r="B35" s="275" t="s">
        <v>326</v>
      </c>
      <c r="C35" s="304">
        <v>4500.0</v>
      </c>
      <c r="D35" s="22" t="s">
        <v>327</v>
      </c>
      <c r="K35" s="239"/>
      <c r="L35" s="239"/>
      <c r="M35" s="239"/>
      <c r="N35" s="301"/>
    </row>
    <row r="36" ht="15.75" customHeight="1">
      <c r="K36" s="239"/>
      <c r="L36" s="239"/>
      <c r="M36" s="239"/>
      <c r="N36" s="301"/>
    </row>
    <row r="37" ht="15.75" customHeight="1">
      <c r="K37" s="239"/>
      <c r="L37" s="239"/>
      <c r="M37" s="239"/>
      <c r="N37" s="301"/>
    </row>
    <row r="38" ht="15.75" customHeight="1">
      <c r="K38" s="264"/>
      <c r="L38" s="71"/>
      <c r="M38" s="239"/>
      <c r="N38" s="305"/>
    </row>
    <row r="39" ht="15.75" customHeight="1">
      <c r="K39" s="239"/>
      <c r="L39" s="239"/>
      <c r="M39" s="239"/>
      <c r="N39" s="239"/>
    </row>
    <row r="40" ht="15.75" customHeight="1">
      <c r="K40" s="239"/>
      <c r="L40" s="239"/>
      <c r="M40" s="239"/>
      <c r="N40" s="306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2021-11-04T08:43:36Z</dcterms:created>
  <dc:creator>Sjoerd Boersma</dc:creator>
</cp:coreProperties>
</file>