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sjett 2025" sheetId="1" r:id="rId4"/>
    <sheet state="visible" name="Medlemskontigent" sheetId="2" r:id="rId5"/>
    <sheet state="visible" name="Driftstilskudd" sheetId="3" r:id="rId6"/>
    <sheet state="visible" name="Arrangement" sheetId="4" r:id="rId7"/>
    <sheet state="visible" name="Kurs" sheetId="5" r:id="rId8"/>
    <sheet state="visible" name="Treningsbudsjett" sheetId="6" r:id="rId9"/>
    <sheet state="visible" name="Øvrige " sheetId="7" r:id="rId10"/>
    <sheet state="visible" name="Forsikring" sheetId="8" r:id="rId11"/>
  </sheets>
  <definedNames>
    <definedName name="feriepengesats">'Budsjett 2025'!$B$6</definedName>
    <definedName hidden="1" name="Google_Sheet_Link_1169062627">feriepengesats</definedName>
  </definedNames>
  <calcPr/>
  <extLst>
    <ext uri="GoogleSheetsCustomDataVersion2">
      <go:sheetsCustomData xmlns:go="http://customooxmlschemas.google.com/" r:id="rId12" roundtripDataChecksum="mKbQ7d4K8vAs5u3wIfgFpKnWy8t5IpTWW8i8YxeNz3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9">
      <text>
        <t xml:space="preserve">======
ID#AAABAqO9YyA
Bratte Rogalands Venner    (2023-11-17 08:51:53)
se arket "Øvrige" for oversikt</t>
      </text>
    </comment>
  </commentList>
  <extLst>
    <ext uri="GoogleSheetsCustomDataVersion2">
      <go:sheetsCustomData xmlns:go="http://customooxmlschemas.google.com/" r:id="rId1" roundtripDataSignature="AMtx7mj3P+LYdVgYxzhGiOlAcBcG+VTYU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3">
      <text>
        <t xml:space="preserve">======
ID#AAABeZEZiT4
Erika Berle    (2025-02-19 06:53:07)
Fordelingsnøkkel: hvor stor andel av lønn er ren lønn (89.2%) og hvor stor andel er feriepenger.</t>
      </text>
    </comment>
  </commentList>
  <extLst>
    <ext uri="GoogleSheetsCustomDataVersion2">
      <go:sheetsCustomData xmlns:go="http://customooxmlschemas.google.com/" r:id="rId1" roundtripDataSignature="AMtx7mi9x0e2ayFEznKG01WPGKqqwgyi+g=="/>
    </ext>
  </extLst>
</comments>
</file>

<file path=xl/sharedStrings.xml><?xml version="1.0" encoding="utf-8"?>
<sst xmlns="http://schemas.openxmlformats.org/spreadsheetml/2006/main" count="402" uniqueCount="354">
  <si>
    <t>Årsbudsjett 2025 - BRV</t>
  </si>
  <si>
    <t>Endringer fra forrige budsjett</t>
  </si>
  <si>
    <t>Bratte Rogalands Venner</t>
  </si>
  <si>
    <t>* - nye poster i anledning NM</t>
  </si>
  <si>
    <t>Telefonkostnader daglig leder er herved regnskapsført som "gave ansatt" og ikke på post telefon, dette vil gjenspeiles i budsjettet</t>
  </si>
  <si>
    <t>Forutsettninger for budsjettet ligger beskrevet i fanene</t>
  </si>
  <si>
    <t>Posten "Bilgodgjørelse" er ny</t>
  </si>
  <si>
    <t xml:space="preserve">Feriepengesats: </t>
  </si>
  <si>
    <t>Budsjett 2025</t>
  </si>
  <si>
    <t>Regnskap 2024</t>
  </si>
  <si>
    <t>2024 Budsjett</t>
  </si>
  <si>
    <r>
      <rPr>
        <rFont val="Calibri"/>
        <color rgb="FF000000"/>
        <sz val="10.0"/>
      </rPr>
      <t>   </t>
    </r>
    <r>
      <rPr>
        <rFont val="Calibri"/>
        <b/>
        <color rgb="FF000000"/>
        <sz val="10.0"/>
      </rPr>
      <t>Driftsinntekter</t>
    </r>
  </si>
  <si>
    <t>Differanse budsjett 2024 mot regnskapstall 2024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</si>
  <si>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Salgsinntekter</t>
    </r>
  </si>
  <si>
    <t>         3100 Treningsavgift</t>
  </si>
  <si>
    <t>         3200 Medlemskontingent</t>
  </si>
  <si>
    <t>         3201 Kurs</t>
  </si>
  <si>
    <t>         3210 Grasrotandel</t>
  </si>
  <si>
    <t>Basert på tall fra de siste tre årene</t>
  </si>
  <si>
    <t>         3250 Utstyr</t>
  </si>
  <si>
    <t>         3260 Utleie av utstyr</t>
  </si>
  <si>
    <t>Utleie av pads og støtte av nettfører (derav penger fra de andre klubbene som bruker nettførersystemene våre)</t>
  </si>
  <si>
    <t xml:space="preserve">         3270 Salg av klær</t>
  </si>
  <si>
    <t>Salg av skjorter, gensere og caps</t>
  </si>
  <si>
    <t>         3280 Billetter</t>
  </si>
  <si>
    <t>Alle arrangement med inntekter (utenom årsfest) føres her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</si>
  <si>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Salgsinntekter</t>
    </r>
  </si>
  <si>
    <t>salgsinntekter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</si>
  <si>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Annen driftsinntekt</t>
    </r>
  </si>
  <si>
    <t>         3440 Tilskudd</t>
  </si>
  <si>
    <t>Se egen fane "Driftstilskudd"</t>
  </si>
  <si>
    <t>         3500 Årsfest</t>
  </si>
  <si>
    <t>        * 3510 Inntekt fra reklame og sponsing</t>
  </si>
  <si>
    <t>         3550 Gaver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</si>
  <si>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Annen driftsinntekt</t>
    </r>
  </si>
  <si>
    <t>annen driftsinntekt</t>
  </si>
  <si>
    <r>
      <rPr>
        <rFont val="Calibri"/>
        <color rgb="FF000000"/>
        <sz val="10.0"/>
      </rPr>
      <t>   </t>
    </r>
    <r>
      <rPr>
        <rFont val="Calibri"/>
        <b/>
        <color rgb="FF000000"/>
        <sz val="10.0"/>
      </rPr>
      <t>Driftsinntekter</t>
    </r>
  </si>
  <si>
    <r>
      <rPr>
        <rFont val="Calibri"/>
        <color rgb="FF000000"/>
        <sz val="10.0"/>
      </rPr>
      <t>   </t>
    </r>
    <r>
      <rPr>
        <rFont val="Calibri"/>
        <b/>
        <color rgb="FF000000"/>
        <sz val="10.0"/>
      </rPr>
      <t>Driftskostnader</t>
    </r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</si>
  <si>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Varekostnad</t>
    </r>
  </si>
  <si>
    <t>         4010 Kurs</t>
  </si>
  <si>
    <t>Utgifter i tilknytning til kurs, som kursavgift for nye BRV instruktører og idrettsprosjektet til NIF vi fikk midler for</t>
  </si>
  <si>
    <t>         4210 Treningsutgifter</t>
  </si>
  <si>
    <t xml:space="preserve">Se arket "treningsbudsjett" for detaljer. </t>
  </si>
  <si>
    <t>         4220 Konkurranse, reiser</t>
  </si>
  <si>
    <t>Satt av til å dekke reise/opphold for trener på ca 6 konkurranser i året. 6 av de 36 er overført til post bilgodtgjørelse</t>
  </si>
  <si>
    <t>         4230 Sosiale utgifter, møter samlinger</t>
  </si>
  <si>
    <t>40.000 til utgifter knyttet til sosiale arrangement (foredragsholder, leie lokale, film ol.). Resterende beløp kan disponeres til årsfest</t>
  </si>
  <si>
    <t>         4500 Årsfest</t>
  </si>
  <si>
    <t xml:space="preserve">Klubben støtter med 20000 i tillegg til det som hentes fra billett inntekter. Utgiftene vi gikk over i 2023 tas fra overskuddet på post 4230 som arangmentkomiteen disponerer til tilsvarende formål. 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</si>
  <si>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Varekostnad</t>
    </r>
  </si>
  <si>
    <t>varekostnad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</si>
  <si>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Lønnskostnad</t>
    </r>
  </si>
  <si>
    <t xml:space="preserve">         5000 Lønn til ansatte </t>
  </si>
  <si>
    <t xml:space="preserve">Lønn til DL. Inkl 15.000 i pensjonskompensasjon. </t>
  </si>
  <si>
    <t xml:space="preserve">         5010 Timelønn </t>
  </si>
  <si>
    <t>Lønnsutgifter for kurs, trenere og vikarer, endring: inkluderer ikke lenger feriepenger</t>
  </si>
  <si>
    <t xml:space="preserve">         5020 Feriepenger (12%) </t>
  </si>
  <si>
    <t>Feriepenger for både fastansatte og timelønnede</t>
  </si>
  <si>
    <t>         5400 Arbeidsgiveravgift (14.1%) (kun fastansatte)</t>
  </si>
  <si>
    <t>Beregnes av lønn ansatte + feriepenger ansatte</t>
  </si>
  <si>
    <t xml:space="preserve">         5990 Gave ansatte, fradagsberettighet</t>
  </si>
  <si>
    <t>Telefonabonnement daglig leder</t>
  </si>
  <si>
    <t>         7100 Bilgodtgjørelse oppgavepliktig</t>
  </si>
  <si>
    <t>Ny fra 2025. Se fanen "øvrige". Dette inkl også 6000kr for trenerreiser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</si>
  <si>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Lønnskostnad</t>
    </r>
  </si>
  <si>
    <t>Lønnskostnad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</si>
  <si>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Annen driftskostnad</t>
    </r>
  </si>
  <si>
    <t>         6300 Leie lokale</t>
  </si>
  <si>
    <t>Til feks årsmøte</t>
  </si>
  <si>
    <t>        * 6400 Leie av maskiner</t>
  </si>
  <si>
    <t>Liftleie til NM</t>
  </si>
  <si>
    <t>         6420 Leie datasystemer</t>
  </si>
  <si>
    <t>Serverplass brv.no, mail og nettførere samt regnskapssystem og nettbutikk, Google One konto for tilstrekkelig kapasitet på BRVs skylagring og epost</t>
  </si>
  <si>
    <t>         * 6490 Annen leiekostnad</t>
  </si>
  <si>
    <t>Lysleie til NM</t>
  </si>
  <si>
    <t>         6620 Reparasjon og vedlikehold av utstyr</t>
  </si>
  <si>
    <t>se treningsbudsjett (inkl i utstyrsbudsjettet)</t>
  </si>
  <si>
    <t>         6700 Regnskapshonorar</t>
  </si>
  <si>
    <t>Prisen økter med 5% i 2024, men antall timer vi bruker på regnskap har gått ned det siste året, derfor reduseres summen på denne posten</t>
  </si>
  <si>
    <t>         6800 Kontorrekvisita</t>
  </si>
  <si>
    <t>         6810 Data/EDB-kostnad</t>
  </si>
  <si>
    <t>Til innkjøp av ny pc og evt. skjerm da forige pc er over 5 år gammel</t>
  </si>
  <si>
    <t>         6860 Møte, kurs, oppdatering o.l.</t>
  </si>
  <si>
    <t>Se arket "Øvrige". Kompetanseheving fast ansatte, utgifter til dugnader og styremøter. Bevertning til NM</t>
  </si>
  <si>
    <t>         6870 Medlemsskap NKF</t>
  </si>
  <si>
    <t>Basert på 1020 medlemmer, 20kr hodet</t>
  </si>
  <si>
    <t>         6900 Telefon</t>
  </si>
  <si>
    <t>kontantkort BRV telefon. For budsjett 2025 har telefon DL blitt flyttet til post 5990</t>
  </si>
  <si>
    <t>         7300 Utstyr</t>
  </si>
  <si>
    <t>Tau, taubrems og sko til treningsgruppene og til kursbruk. Også drill og utstyr til utebruk</t>
  </si>
  <si>
    <t>         7305 Diverse utgifter</t>
  </si>
  <si>
    <t>Småinnkjøp av DL</t>
  </si>
  <si>
    <t>         7310 Bolting</t>
  </si>
  <si>
    <t>Utvikling og vedlikehold av klatrefelt, herunder bolter og annet materiell</t>
  </si>
  <si>
    <t>         7320 Reklamekostnad</t>
  </si>
  <si>
    <t>Klubbtøy + trykking av NM artikler</t>
  </si>
  <si>
    <t>         7420 Gave, fradragsberettiget</t>
  </si>
  <si>
    <t>Premier NM, julegave trenere og folkekort senioransvarlig (4000kr)</t>
  </si>
  <si>
    <t>         7500 Forsikringspremie</t>
  </si>
  <si>
    <t>Inkluderer egenandel på 10.000</t>
  </si>
  <si>
    <t>         7770 Bank og kortgebyrer</t>
  </si>
  <si>
    <t>økte utgifter her</t>
  </si>
  <si>
    <t>        * 7790 Annen kostnad, fradragsberettiget</t>
  </si>
  <si>
    <r>
      <rPr>
        <rFont val="Calibri"/>
        <color rgb="FF000000"/>
        <sz val="10.0"/>
      </rPr>
      <t>      </t>
    </r>
    <r>
      <rPr>
        <rFont val="Calibri"/>
        <b/>
        <color rgb="FF000000"/>
        <sz val="10.0"/>
      </rPr>
      <t>Annen driftskostnad</t>
    </r>
  </si>
  <si>
    <t>Annen driftskostnad</t>
  </si>
  <si>
    <r>
      <rPr>
        <rFont val="Calibri"/>
        <color rgb="FF000000"/>
        <sz val="10.0"/>
      </rPr>
      <t>   </t>
    </r>
    <r>
      <rPr>
        <rFont val="Calibri"/>
        <b/>
        <color rgb="FF000000"/>
        <sz val="10.0"/>
      </rPr>
      <t>Driftskostnader</t>
    </r>
  </si>
  <si>
    <t>Driftsresultat</t>
  </si>
  <si>
    <t>Sum diff budsjett og regnskap 2024</t>
  </si>
  <si>
    <t>Om regnskapstall 2024 i kolonne C: det er ført ytterligere 26530 kroner som "påløpt ubetalt lønn" i årsregnskapet som ikke kommer til uttrykk her, dette medfører en differanse i driftsresultatet her og i årsregnskapet</t>
  </si>
  <si>
    <t>Samlet inntekt over budsjett</t>
  </si>
  <si>
    <t>Samlet utgifter under budsjett</t>
  </si>
  <si>
    <t xml:space="preserve">Medlemskontigent </t>
  </si>
  <si>
    <t>Pris</t>
  </si>
  <si>
    <t xml:space="preserve">Antall </t>
  </si>
  <si>
    <t>sum</t>
  </si>
  <si>
    <t>Voksen 18+ år</t>
  </si>
  <si>
    <t>Barn 0-17 år</t>
  </si>
  <si>
    <t>Betalingsgebyr</t>
  </si>
  <si>
    <t>Sum totalt</t>
  </si>
  <si>
    <t>Oversikt tilskudd og midler - post 3440</t>
  </si>
  <si>
    <t xml:space="preserve">Tilleggsinfo og forventet utbetaling basert på fjoråret </t>
  </si>
  <si>
    <t>Lokale aktivitetsmidler (LAM) fra NIF - se utregning under</t>
  </si>
  <si>
    <t>Utbetalt slutten av november</t>
  </si>
  <si>
    <t>Kommunale driftsmidler (via Idrettsrådet) - se utregning under</t>
  </si>
  <si>
    <t>Halve i juni og halve i des</t>
  </si>
  <si>
    <t>Tilskudd fast ansatt fra kommunen (daglig leder 60% stilling)</t>
  </si>
  <si>
    <t>Søkes på innen 1. desember året før, tildeles/utbetales i mars/april</t>
  </si>
  <si>
    <t>Momskompensasjon</t>
  </si>
  <si>
    <t>Utbetales desember. Sum baserer seg på X antall prosent (8% de siste årene) av våre totale driftskostnad (lønn inkl) = kompensasjon utbetalt. Prosentsatsen kan variere fra år til år</t>
  </si>
  <si>
    <t>Ekstratilskudd NIF "Ekstrainnsats til like muligheter til å delta i idretten"</t>
  </si>
  <si>
    <t>Disse har vi allerede fått med er avsatt i balansen da prosjektet skal gå vår 2025. Se fanen "kurs" for utgiftene til prosjektet.</t>
  </si>
  <si>
    <t>Sum tilskudd og midler</t>
  </si>
  <si>
    <t>Utregning lokale aktivitetsmidler (LAM) fra NIF</t>
  </si>
  <si>
    <t>Antall</t>
  </si>
  <si>
    <t>Sats</t>
  </si>
  <si>
    <t>Sum</t>
  </si>
  <si>
    <t xml:space="preserve">ungdom f.o.m. 13 – t.o.m. 19 år </t>
  </si>
  <si>
    <t>barn f.o.m. 6 – t.o.m 12</t>
  </si>
  <si>
    <t>SUM</t>
  </si>
  <si>
    <t>Utregning kommunale driftmidler</t>
  </si>
  <si>
    <t>barn og ungdom 6-25</t>
  </si>
  <si>
    <t>Grasrotandel - post 3210</t>
  </si>
  <si>
    <t xml:space="preserve">Grasrotandel avhenger av antall mennesker som velger oss som mottaker når de spiller på Norsk Tipping. Det blir utbetalt januar, mai og september. </t>
  </si>
  <si>
    <t>Omtrentlig beløp de siste årene har vært 13.000</t>
  </si>
  <si>
    <t>Arrangement</t>
  </si>
  <si>
    <t xml:space="preserve">Vi setter av en sum til arrangementkomiteen kan disponere, unntaket er årsfesten som er en egen budsjettpost. Overskudd fra denne psoten kan disponeres av arrangementkomiteen til årsfest ved behov. </t>
  </si>
  <si>
    <t>Denne posten omfavner ting som</t>
  </si>
  <si>
    <t>Klatresamlinger</t>
  </si>
  <si>
    <t>Leie av lokale til årsmøte går på egen post 6300 - leie lokaler</t>
  </si>
  <si>
    <t>Klubbkvelder</t>
  </si>
  <si>
    <t>Workshops</t>
  </si>
  <si>
    <t>Foredrag</t>
  </si>
  <si>
    <t>Filmvisning</t>
  </si>
  <si>
    <t>Dugnader</t>
  </si>
  <si>
    <t>Det er stipulert 20000 i egenandel til billetter/avgift for div arrangement som går opp mot denne utgiftsposten. Dvs vi forventer å bruke 20000 på arrangement (totale utgifter)</t>
  </si>
  <si>
    <t>NM budsjett 2025</t>
  </si>
  <si>
    <t>Utregning deltakeravgift</t>
  </si>
  <si>
    <t>Inntekter BRV</t>
  </si>
  <si>
    <t>deltakeravgift</t>
  </si>
  <si>
    <t>antall</t>
  </si>
  <si>
    <t>Stipulerte inntekter fra deltakeravgift til BRV (1/4)</t>
  </si>
  <si>
    <t>Kommunale tilskudd</t>
  </si>
  <si>
    <t>Aktivitetsmidler NKF</t>
  </si>
  <si>
    <t xml:space="preserve">Sponsormidler </t>
  </si>
  <si>
    <t>Støtte NKF lyd, lys og lift</t>
  </si>
  <si>
    <t>SUM inntekter</t>
  </si>
  <si>
    <t>Utgifter BRV</t>
  </si>
  <si>
    <t>Skjorter til frivillge</t>
  </si>
  <si>
    <t>Bevertning 50 frivillige og deltakere x to dager</t>
  </si>
  <si>
    <t>Uforutsette utgifter/investeringer?</t>
  </si>
  <si>
    <t>Startnummer trykking</t>
  </si>
  <si>
    <t>Premier</t>
  </si>
  <si>
    <t>Liftleie</t>
  </si>
  <si>
    <t>Lyd/lys leie</t>
  </si>
  <si>
    <t>SUM utgifter</t>
  </si>
  <si>
    <t>Totalt</t>
  </si>
  <si>
    <t>Kurs solgt av BRV</t>
  </si>
  <si>
    <t>* etter betalingsløsningen har tatt sin andel på litt over en 1%</t>
  </si>
  <si>
    <t>Kurstype</t>
  </si>
  <si>
    <t>Antall kurs</t>
  </si>
  <si>
    <t>Lønn per instruktør</t>
  </si>
  <si>
    <t>Utgifter Totalt</t>
  </si>
  <si>
    <t>Antall deltagere Medlem</t>
  </si>
  <si>
    <t>Antall deltagere Ikke medlem</t>
  </si>
  <si>
    <t>Inntekt Totalt</t>
  </si>
  <si>
    <t>Netto*</t>
  </si>
  <si>
    <t>Differanse</t>
  </si>
  <si>
    <t>Brattkort</t>
  </si>
  <si>
    <t>Lønnsatser 2023</t>
  </si>
  <si>
    <t>Inne til ute</t>
  </si>
  <si>
    <t>Sats hovedinstruktør</t>
  </si>
  <si>
    <t>Sats medinstruktør</t>
  </si>
  <si>
    <t>Tradkurs innføring 1</t>
  </si>
  <si>
    <t>Brattkort/oppfølgingskurs</t>
  </si>
  <si>
    <t>Tradkurs viderekommende 2</t>
  </si>
  <si>
    <t>om de ikke har sport 1 utdanning eller høyere</t>
  </si>
  <si>
    <t>Klatreinstruktør inne</t>
  </si>
  <si>
    <t>Tradkurs/kameratredning</t>
  </si>
  <si>
    <t>Oppfriskningskurs</t>
  </si>
  <si>
    <t>Klatreinstr. inne</t>
  </si>
  <si>
    <t>Kameratredningskurs</t>
  </si>
  <si>
    <t>Timer utbetalt inkl forberedelse og etterarbeid per instruktør</t>
  </si>
  <si>
    <t>Grunnlag for inntektsberegning - deltakerpris</t>
  </si>
  <si>
    <t>Medlem 13-18 år</t>
  </si>
  <si>
    <t>Ikke-medlem 13-18 år</t>
  </si>
  <si>
    <t>Medlem over 18 år</t>
  </si>
  <si>
    <t>Ikke medlem over 18 år</t>
  </si>
  <si>
    <t>Fastpris Medlem alle aldre</t>
  </si>
  <si>
    <t>Fastpris Ikke medlem alle aldre</t>
  </si>
  <si>
    <t>Notat</t>
  </si>
  <si>
    <t>Tradkurs type 1</t>
  </si>
  <si>
    <t>Tradkurs type 2</t>
  </si>
  <si>
    <t>Inkl lån av BRVs tradutstyr</t>
  </si>
  <si>
    <t>Kompetanseheving instruktører - BRV dekker kursavgiften (ev mer)</t>
  </si>
  <si>
    <t>Type kurs</t>
  </si>
  <si>
    <t>kursavgift/støtte</t>
  </si>
  <si>
    <t>Grupper vi sikter oss inn mot å hjelpe i dette prosjektet: LHL Rogaland og Ventilene - Rogaland v. kirkens bymisjon</t>
  </si>
  <si>
    <t>Inntekt</t>
  </si>
  <si>
    <t>Lønn trener/instruktør</t>
  </si>
  <si>
    <t>Sport 1</t>
  </si>
  <si>
    <t>Midler fra NIF og Olymiske komite</t>
  </si>
  <si>
    <t>Timelønn</t>
  </si>
  <si>
    <t>Kurslærer KII</t>
  </si>
  <si>
    <t>Med sosiale utgifter</t>
  </si>
  <si>
    <t>SUM inntekt</t>
  </si>
  <si>
    <t>Antall timer per økt</t>
  </si>
  <si>
    <t>Antall økter (LHL 15 økter + ventilene 10 økter)</t>
  </si>
  <si>
    <t>Klatreinstruktør inne og Trenerkurs går på treningsbudsjettet</t>
  </si>
  <si>
    <t>Utgifter</t>
  </si>
  <si>
    <t>Lønn for adm BRV</t>
  </si>
  <si>
    <t>Sum utgift</t>
  </si>
  <si>
    <t>Inngang deltakere</t>
  </si>
  <si>
    <t>Lønn instruktør/trener</t>
  </si>
  <si>
    <t>Inngang senter utgifter</t>
  </si>
  <si>
    <t>Sum per økt, maks antall person er 10 stk</t>
  </si>
  <si>
    <t>Sum utgifter</t>
  </si>
  <si>
    <t>Antall økter LHL</t>
  </si>
  <si>
    <t>Over 10 stk, så doble økter</t>
  </si>
  <si>
    <t>Antall økter Ventilene</t>
  </si>
  <si>
    <t>Resultat</t>
  </si>
  <si>
    <t>Sum inngang</t>
  </si>
  <si>
    <t xml:space="preserve">Fordeling av lønn og feriepenger </t>
  </si>
  <si>
    <t>ren lønn</t>
  </si>
  <si>
    <t>feriepenger</t>
  </si>
  <si>
    <t>kontroll</t>
  </si>
  <si>
    <t>Gruppene januar - desember</t>
  </si>
  <si>
    <t>Antall Uker</t>
  </si>
  <si>
    <t>Uketimer</t>
  </si>
  <si>
    <t>Trener 200</t>
  </si>
  <si>
    <t>Trener 220</t>
  </si>
  <si>
    <t>Totale lønnsutgifter</t>
  </si>
  <si>
    <t>Antall deltakere</t>
  </si>
  <si>
    <t>Semesteravgift begge semestre</t>
  </si>
  <si>
    <t>Sum Inntekt</t>
  </si>
  <si>
    <t>timepris</t>
  </si>
  <si>
    <t>Tau ungdom</t>
  </si>
  <si>
    <t xml:space="preserve">Buldring Ungdom </t>
  </si>
  <si>
    <t xml:space="preserve">Buldring 3. til 4. klasse </t>
  </si>
  <si>
    <t>Konkpakken</t>
  </si>
  <si>
    <t>Konkurransegruppen</t>
  </si>
  <si>
    <t>Støtteordninger konkgruppen 2025</t>
  </si>
  <si>
    <t>Buldring 5. til 6. klasse</t>
  </si>
  <si>
    <t xml:space="preserve">Paraklatring </t>
  </si>
  <si>
    <t>Reisestøtte nasjonale mesterskap:</t>
  </si>
  <si>
    <t>Reisestøtte internasjonale mesterskap:</t>
  </si>
  <si>
    <t>Konktøy</t>
  </si>
  <si>
    <t>Kombi tau og buldring ungdom</t>
  </si>
  <si>
    <t xml:space="preserve">Seniorklatring </t>
  </si>
  <si>
    <t>Snitt deltakelse</t>
  </si>
  <si>
    <t>Singleter/gensere</t>
  </si>
  <si>
    <t>6 timer adm arbeid i året for konkgruppen (hovedtrener)</t>
  </si>
  <si>
    <t>Refusjon per konk</t>
  </si>
  <si>
    <t>Trenervertskap HKL besøk (4 timer x2 besøk)</t>
  </si>
  <si>
    <t>konker i året</t>
  </si>
  <si>
    <t>Trenermøte</t>
  </si>
  <si>
    <t>Budsjettramme</t>
  </si>
  <si>
    <t>Total oversikt inntekter og kostnader for treningstilbudet</t>
  </si>
  <si>
    <t>Vårsemesteret er 18 uker, høstsemesteret 16 uker</t>
  </si>
  <si>
    <t>Trening utomhus (SA/Air)</t>
  </si>
  <si>
    <t>Dekking av konkavgift:</t>
  </si>
  <si>
    <t>Inntekt grupper fratrukket lønnskostnad</t>
  </si>
  <si>
    <t>Drop inn pris snitt</t>
  </si>
  <si>
    <t xml:space="preserve">Alle kostnader relatert til trening: </t>
  </si>
  <si>
    <t>Antall ganger</t>
  </si>
  <si>
    <t>Fakturagebyr</t>
  </si>
  <si>
    <t>Konkpakken (se boks høyre)</t>
  </si>
  <si>
    <t>Grunnlag for beregning av treningsinntekter og utgifter:</t>
  </si>
  <si>
    <t>Vikarbudsjett og lønnskompensasjon konktrenere på konkeise</t>
  </si>
  <si>
    <t>Vikarbudsjett 5000 samt lønnsompensasjon for trenere på reise 3000kr x 6 konker (totalt 18.000kr)</t>
  </si>
  <si>
    <t>Sum konkpakke</t>
  </si>
  <si>
    <t>Satser inkl feriepenger</t>
  </si>
  <si>
    <t xml:space="preserve">Refusjon trenerreiser </t>
  </si>
  <si>
    <t>Dekker reise og opphold under konkhelg for trener</t>
  </si>
  <si>
    <t>Timelønn 1</t>
  </si>
  <si>
    <t>Ren lønn</t>
  </si>
  <si>
    <t>Utstyr</t>
  </si>
  <si>
    <t xml:space="preserve">Tau, sko, seler, og taubrems til de gruppene som trenger det </t>
  </si>
  <si>
    <t>Timelønn 2</t>
  </si>
  <si>
    <t>Feriepenger</t>
  </si>
  <si>
    <t>Resåling klatresko</t>
  </si>
  <si>
    <t>Sko til barne og paragrupper</t>
  </si>
  <si>
    <t>Kompetanseheving</t>
  </si>
  <si>
    <t xml:space="preserve">Trenerkurs og klatreinstruktørkurs, samt kontingent for nasjonalklubbsamlign eller trenersamling om det er aktuelt </t>
  </si>
  <si>
    <t>Sats semesteravgift</t>
  </si>
  <si>
    <t>Julegave trenere</t>
  </si>
  <si>
    <t xml:space="preserve">Tau 13-17 </t>
  </si>
  <si>
    <t>Mat/drikke trenermøte</t>
  </si>
  <si>
    <t>SUM idretten i BRV</t>
  </si>
  <si>
    <t>Konkurransegruppe</t>
  </si>
  <si>
    <t>Konkurransegruppens trenerreiser, konkpakke og øvrige utgifter som ikke dekkes av egenandel fra treningsavgift finaniseres av inntekter fra breddegruppene i tråd med prinsipper fra idretten om at bredden er med å støtter opp om toppen</t>
  </si>
  <si>
    <t xml:space="preserve">Buldring 5. til 6. klasse </t>
  </si>
  <si>
    <t>For 2025 vil kostnadene til konkgruppen bli enda større så summen under "SUM idretten i BRV" må kostnadsføres under generell drift i klubben</t>
  </si>
  <si>
    <t>Paraklatring</t>
  </si>
  <si>
    <t>Oversikt over kostander konkgruppen</t>
  </si>
  <si>
    <t>Seniorgruppe</t>
  </si>
  <si>
    <t>Treningsavgift</t>
  </si>
  <si>
    <t>Sum inntekt</t>
  </si>
  <si>
    <t>Utgifter*</t>
  </si>
  <si>
    <t>Refusjon trenerreiser</t>
  </si>
  <si>
    <t xml:space="preserve">Lønnskompensasjon trenere på konkreise </t>
  </si>
  <si>
    <t>Lønnsutgifter trenere fast</t>
  </si>
  <si>
    <t>Utstyr (delt med taugruppen)</t>
  </si>
  <si>
    <t>Vikarbudsjett og kompetanseheving trenere (stipulert)</t>
  </si>
  <si>
    <t>Øvrige utgifter i perioden</t>
  </si>
  <si>
    <t>7310 bolting</t>
  </si>
  <si>
    <t>Ingen spesifikke søknader på bordet per februar 2025</t>
  </si>
  <si>
    <t>Budsjett utvikling og vedlikehold av klatrefelt, herunder bolter og annet materiell</t>
  </si>
  <si>
    <t>6860 Møte, kurs, oppdatering o.l.</t>
  </si>
  <si>
    <t>Styremøter</t>
  </si>
  <si>
    <t>Dugnadsmat</t>
  </si>
  <si>
    <t>Kompetanseheving fast ansatt</t>
  </si>
  <si>
    <t>6420 Leie datasystemer</t>
  </si>
  <si>
    <t>Regnskapssystem tripletex</t>
  </si>
  <si>
    <t>* Serverplass brv.no, mail og nettførere</t>
  </si>
  <si>
    <t>Nettbutikk Tidypay</t>
  </si>
  <si>
    <t>Google One konto for BRVs skylagring og epost</t>
  </si>
  <si>
    <t xml:space="preserve">* omtrent 7200 av disse legger vi ut for andre klubber som benytter seg av nettførersystemene våre, og ber de refundere. </t>
  </si>
  <si>
    <t>Dette er lagt inn som inntekt på post 3260 "Utleie av utstyr"</t>
  </si>
  <si>
    <t>5000 lønn ansatte</t>
  </si>
  <si>
    <t>Grunnlønn fast ansatt</t>
  </si>
  <si>
    <t>Pensjon</t>
  </si>
  <si>
    <t>BRV er ikke pensjonspliktig, men for å kompensere DL for manglende pensjon har det blitt vedtatt at 15.000 utbetales årlig og settes på IPS konto</t>
  </si>
  <si>
    <t>Sum lønn daglig leder inkl pensjon</t>
  </si>
  <si>
    <t>Kjøregodtgjørelse DL</t>
  </si>
  <si>
    <t>Utbetales som lønn, men vi velger det skattefrie trekkbeløpet 3,50 kr km. Skal likevel innrapporteres, derav egen post (7100)</t>
  </si>
  <si>
    <t>Detaljer om nåværende forsikring per januar 2025 - avtaleperiode 20.1.25 - 20.1.26</t>
  </si>
  <si>
    <t>Grunnpris og gjenstående sum fra tidligere avtaleperiode</t>
  </si>
  <si>
    <t xml:space="preserve">Ansvar for styret </t>
  </si>
  <si>
    <t>Ansvarsforsikring</t>
  </si>
  <si>
    <t>Dugnad, organisasjoner, klubb/korps (770 medlemmer)</t>
  </si>
  <si>
    <t>kriminalitet</t>
  </si>
  <si>
    <t>personal- med antallsoppgave</t>
  </si>
  <si>
    <t>Rettshjelpsforsikring</t>
  </si>
  <si>
    <t>Egenandel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</si>
</sst>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&quot;kr&quot;"/>
    <numFmt numFmtId="165" formatCode="#,##0.00\ [$kr-414]"/>
    <numFmt numFmtId="166" formatCode="0.0"/>
  </numFmts>
  <fonts count="42">
    <font>
      <sz val="11.0"/>
      <color rgb="FF000000"/>
      <name val="Calibri"/>
      <scheme val="minor"/>
    </font>
    <font>
      <b/>
      <sz val="15.0"/>
      <color rgb="FF000000"/>
      <name val="Calibri"/>
    </font>
    <font>
      <color theme="1"/>
      <name val="Calibri"/>
    </font>
    <font>
      <b/>
      <color theme="1"/>
      <name val="Calibri"/>
    </font>
    <font>
      <b/>
      <sz val="12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sz val="12.0"/>
      <color rgb="FF363636"/>
      <name val="Monospace"/>
    </font>
    <font>
      <b/>
      <strike/>
      <color theme="1"/>
      <name val="Calibri"/>
    </font>
    <font>
      <strike/>
      <color theme="1"/>
      <name val="Calibri"/>
    </font>
    <font>
      <sz val="11.0"/>
      <color theme="1"/>
      <name val="Calibri"/>
    </font>
    <font>
      <i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0.0"/>
      <color rgb="FF000000"/>
      <name val="Arial"/>
    </font>
    <font>
      <b/>
      <sz val="11.0"/>
      <color rgb="FF000000"/>
      <name val="Calibri"/>
    </font>
    <font>
      <b/>
      <i/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rgb="FF222222"/>
      <name val="Arial"/>
    </font>
    <font>
      <b/>
      <i/>
      <color theme="1"/>
      <name val="Calibri"/>
    </font>
    <font>
      <b/>
      <sz val="13.0"/>
      <color theme="1"/>
      <name val="Calibri"/>
    </font>
    <font>
      <color theme="1"/>
      <name val="Arial"/>
    </font>
    <font>
      <b/>
      <color theme="1"/>
      <name val="Arial"/>
    </font>
    <font>
      <sz val="11.0"/>
      <color rgb="FF1F1F1F"/>
      <name val="Arial"/>
    </font>
    <font>
      <color rgb="FF000000"/>
      <name val="Calibri"/>
    </font>
    <font>
      <sz val="9.0"/>
      <color rgb="FF1F1F1F"/>
      <name val="Arial"/>
    </font>
    <font>
      <i/>
      <sz val="11.0"/>
      <color theme="1"/>
      <name val="Calibri"/>
    </font>
    <font>
      <b/>
      <sz val="11.0"/>
      <color rgb="FF1F1F1F"/>
      <name val="Arial"/>
    </font>
    <font>
      <i/>
      <color theme="1"/>
      <name val="Calibri"/>
      <scheme val="minor"/>
    </font>
    <font>
      <sz val="10.0"/>
      <color theme="1"/>
      <name val="Calibri"/>
    </font>
    <font>
      <i/>
      <sz val="10.0"/>
      <color rgb="FF000000"/>
      <name val="Calibri"/>
    </font>
    <font>
      <b/>
      <i/>
      <sz val="10.0"/>
      <color rgb="FF000000"/>
      <name val="Calibri"/>
    </font>
    <font>
      <b/>
      <sz val="10.0"/>
      <color theme="1"/>
      <name val="Calibri"/>
    </font>
    <font>
      <i/>
      <sz val="10.0"/>
      <color theme="1"/>
      <name val="Calibri"/>
    </font>
    <font>
      <strike/>
      <sz val="10.0"/>
      <color rgb="FF000000"/>
      <name val="Calibri"/>
    </font>
    <font>
      <strike/>
      <sz val="10.0"/>
      <color theme="1"/>
      <name val="Calibri"/>
    </font>
    <font>
      <b/>
      <i/>
      <sz val="10.0"/>
      <color theme="1"/>
      <name val="Calibri"/>
    </font>
    <font>
      <sz val="11.0"/>
      <color rgb="FF1F1F1F"/>
      <name val="Calibri"/>
    </font>
    <font>
      <b/>
      <sz val="15.0"/>
      <color theme="1"/>
      <name val="Calibri"/>
    </font>
    <font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</fills>
  <borders count="2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ck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ck">
        <color rgb="FF000000"/>
      </top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0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vertical="center"/>
    </xf>
    <xf borderId="0" fillId="2" fontId="2" numFmtId="3" xfId="0" applyAlignment="1" applyFill="1" applyFont="1" applyNumberForma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1" fillId="0" fontId="3" numFmtId="0" xfId="0" applyAlignment="1" applyBorder="1" applyFont="1">
      <alignment readingOrder="0" vertical="center"/>
    </xf>
    <xf borderId="1" fillId="0" fontId="2" numFmtId="0" xfId="0" applyAlignment="1" applyBorder="1" applyFont="1">
      <alignment vertical="center"/>
    </xf>
    <xf borderId="0" fillId="0" fontId="4" numFmtId="49" xfId="0" applyAlignment="1" applyFont="1" applyNumberFormat="1">
      <alignment vertical="center"/>
    </xf>
    <xf borderId="0" fillId="2" fontId="5" numFmtId="3" xfId="0" applyAlignment="1" applyFont="1" applyNumberFormat="1">
      <alignment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Font="1"/>
    <xf borderId="0" fillId="0" fontId="10" numFmtId="0" xfId="0" applyAlignment="1" applyFont="1">
      <alignment vertical="center"/>
    </xf>
    <xf borderId="2" fillId="0" fontId="11" numFmtId="0" xfId="0" applyAlignment="1" applyBorder="1" applyFont="1">
      <alignment vertical="center"/>
    </xf>
    <xf borderId="3" fillId="2" fontId="11" numFmtId="10" xfId="0" applyAlignment="1" applyBorder="1" applyFont="1" applyNumberFormat="1">
      <alignment vertical="center"/>
    </xf>
    <xf borderId="0" fillId="0" fontId="12" numFmtId="0" xfId="0" applyAlignment="1" applyFont="1">
      <alignment horizontal="left" shrinkToFit="0" vertical="center" wrapText="1"/>
    </xf>
    <xf borderId="0" fillId="3" fontId="12" numFmtId="0" xfId="0" applyAlignment="1" applyFill="1" applyFont="1">
      <alignment horizontal="left" shrinkToFit="0" vertical="center" wrapText="1"/>
    </xf>
    <xf borderId="0" fillId="0" fontId="12" numFmtId="0" xfId="0" applyAlignment="1" applyFont="1">
      <alignment vertical="center"/>
    </xf>
    <xf borderId="0" fillId="0" fontId="4" numFmtId="49" xfId="0" applyAlignment="1" applyFont="1" applyNumberFormat="1">
      <alignment shrinkToFit="0" vertical="center" wrapText="1"/>
    </xf>
    <xf borderId="0" fillId="2" fontId="4" numFmtId="3" xfId="0" applyAlignment="1" applyFont="1" applyNumberFormat="1">
      <alignment shrinkToFit="0" vertical="center" wrapText="1"/>
    </xf>
    <xf borderId="0" fillId="0" fontId="2" numFmtId="0" xfId="0" applyFont="1"/>
    <xf borderId="0" fillId="2" fontId="13" numFmtId="3" xfId="0" applyAlignment="1" applyFont="1" applyNumberFormat="1">
      <alignment horizontal="right" shrinkToFit="0" vertical="center" wrapText="1"/>
    </xf>
    <xf borderId="0" fillId="0" fontId="13" numFmtId="0" xfId="0" applyAlignment="1" applyFont="1">
      <alignment horizontal="right" shrinkToFit="0" vertical="center" wrapText="1"/>
    </xf>
    <xf borderId="0" fillId="3" fontId="13" numFmtId="0" xfId="0" applyAlignment="1" applyFont="1">
      <alignment horizontal="right" shrinkToFit="0" vertical="center" wrapText="1"/>
    </xf>
    <xf borderId="0" fillId="0" fontId="12" numFmtId="0" xfId="0" applyAlignment="1" applyFont="1">
      <alignment shrinkToFit="0" vertical="center" wrapText="1"/>
    </xf>
    <xf borderId="0" fillId="2" fontId="14" numFmtId="3" xfId="0" applyAlignment="1" applyFont="1" applyNumberFormat="1">
      <alignment shrinkToFit="0" vertical="center" wrapText="1"/>
    </xf>
    <xf borderId="0" fillId="0" fontId="14" numFmtId="0" xfId="0" applyAlignment="1" applyFont="1">
      <alignment shrinkToFit="0" vertical="center" wrapText="1"/>
    </xf>
    <xf borderId="1" fillId="0" fontId="6" numFmtId="0" xfId="0" applyBorder="1" applyFont="1"/>
    <xf borderId="4" fillId="0" fontId="12" numFmtId="0" xfId="0" applyAlignment="1" applyBorder="1" applyFont="1">
      <alignment shrinkToFit="0" vertical="center" wrapText="1"/>
    </xf>
    <xf borderId="4" fillId="0" fontId="14" numFmtId="3" xfId="0" applyAlignment="1" applyBorder="1" applyFont="1" applyNumberFormat="1">
      <alignment shrinkToFit="0" vertical="center" wrapText="1"/>
    </xf>
    <xf borderId="0" fillId="0" fontId="12" numFmtId="3" xfId="0" applyAlignment="1" applyFont="1" applyNumberFormat="1">
      <alignment shrinkToFit="0" vertical="center" wrapText="1"/>
    </xf>
    <xf borderId="0" fillId="0" fontId="2" numFmtId="3" xfId="0" applyAlignment="1" applyFont="1" applyNumberFormat="1">
      <alignment vertical="center"/>
    </xf>
    <xf borderId="0" fillId="0" fontId="12" numFmtId="3" xfId="0" applyAlignment="1" applyFont="1" applyNumberFormat="1">
      <alignment readingOrder="0" shrinkToFit="0" vertical="center" wrapText="1"/>
    </xf>
    <xf borderId="0" fillId="0" fontId="12" numFmtId="3" xfId="0" applyAlignment="1" applyFont="1" applyNumberFormat="1">
      <alignment horizontal="right" readingOrder="0" shrinkToFit="0" vertical="center" wrapText="1"/>
    </xf>
    <xf borderId="0" fillId="0" fontId="3" numFmtId="0" xfId="0" applyAlignment="1" applyFont="1">
      <alignment vertical="center"/>
    </xf>
    <xf borderId="5" fillId="0" fontId="12" numFmtId="0" xfId="0" applyAlignment="1" applyBorder="1" applyFont="1">
      <alignment vertical="center"/>
    </xf>
    <xf borderId="5" fillId="0" fontId="13" numFmtId="3" xfId="0" applyAlignment="1" applyBorder="1" applyFont="1" applyNumberFormat="1">
      <alignment shrinkToFit="0" vertical="center" wrapText="1"/>
    </xf>
    <xf borderId="5" fillId="0" fontId="2" numFmtId="0" xfId="0" applyAlignment="1" applyBorder="1" applyFont="1">
      <alignment vertical="center"/>
    </xf>
    <xf borderId="5" fillId="0" fontId="2" numFmtId="3" xfId="0" applyAlignment="1" applyBorder="1" applyFont="1" applyNumberFormat="1">
      <alignment vertical="center"/>
    </xf>
    <xf borderId="0" fillId="0" fontId="15" numFmtId="0" xfId="0" applyFont="1"/>
    <xf borderId="0" fillId="0" fontId="12" numFmtId="0" xfId="0" applyAlignment="1" applyFont="1">
      <alignment readingOrder="0" vertical="center"/>
    </xf>
    <xf borderId="6" fillId="0" fontId="12" numFmtId="0" xfId="0" applyAlignment="1" applyBorder="1" applyFont="1">
      <alignment vertical="center"/>
    </xf>
    <xf borderId="6" fillId="0" fontId="13" numFmtId="3" xfId="0" applyAlignment="1" applyBorder="1" applyFont="1" applyNumberFormat="1">
      <alignment shrinkToFit="0" vertical="center" wrapText="1"/>
    </xf>
    <xf borderId="4" fillId="0" fontId="12" numFmtId="3" xfId="0" applyAlignment="1" applyBorder="1" applyFont="1" applyNumberFormat="1">
      <alignment shrinkToFit="0" vertical="center" wrapText="1"/>
    </xf>
    <xf borderId="0" fillId="2" fontId="12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6" fillId="0" fontId="13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7" fillId="0" fontId="2" numFmtId="3" xfId="0" applyAlignment="1" applyBorder="1" applyFont="1" applyNumberFormat="1">
      <alignment vertical="center"/>
    </xf>
    <xf borderId="8" fillId="0" fontId="2" numFmtId="0" xfId="0" applyAlignment="1" applyBorder="1" applyFont="1">
      <alignment vertical="center"/>
    </xf>
    <xf borderId="9" fillId="0" fontId="2" numFmtId="0" xfId="0" applyBorder="1" applyFont="1"/>
    <xf borderId="10" fillId="0" fontId="2" numFmtId="0" xfId="0" applyAlignment="1" applyBorder="1" applyFont="1">
      <alignment vertical="center"/>
    </xf>
    <xf borderId="11" fillId="0" fontId="2" numFmtId="3" xfId="0" applyAlignment="1" applyBorder="1" applyFont="1" applyNumberFormat="1">
      <alignment vertical="center"/>
    </xf>
    <xf borderId="9" fillId="0" fontId="2" numFmtId="0" xfId="0" applyAlignment="1" applyBorder="1" applyFont="1">
      <alignment vertical="center"/>
    </xf>
    <xf borderId="0" fillId="0" fontId="13" numFmtId="0" xfId="0" applyAlignment="1" applyFont="1">
      <alignment shrinkToFit="0" vertical="center" wrapText="1"/>
    </xf>
    <xf borderId="0" fillId="0" fontId="13" numFmtId="0" xfId="0" applyAlignment="1" applyFont="1">
      <alignment vertical="center"/>
    </xf>
    <xf borderId="0" fillId="0" fontId="14" numFmtId="49" xfId="0" applyFont="1" applyNumberFormat="1"/>
    <xf borderId="0" fillId="0" fontId="16" numFmtId="49" xfId="0" applyFont="1" applyNumberFormat="1"/>
    <xf borderId="0" fillId="0" fontId="10" numFmtId="0" xfId="0" applyFont="1"/>
    <xf borderId="0" fillId="0" fontId="10" numFmtId="0" xfId="0" applyAlignment="1" applyFont="1">
      <alignment readingOrder="0"/>
    </xf>
    <xf borderId="1" fillId="0" fontId="2" numFmtId="0" xfId="0" applyBorder="1" applyFont="1"/>
    <xf borderId="7" fillId="0" fontId="16" numFmtId="49" xfId="0" applyBorder="1" applyFont="1" applyNumberFormat="1"/>
    <xf borderId="7" fillId="0" fontId="2" numFmtId="0" xfId="0" applyBorder="1" applyFont="1"/>
    <xf borderId="7" fillId="0" fontId="10" numFmtId="0" xfId="0" applyBorder="1" applyFont="1"/>
    <xf borderId="12" fillId="0" fontId="17" numFmtId="0" xfId="0" applyBorder="1" applyFont="1"/>
    <xf borderId="0" fillId="0" fontId="18" numFmtId="0" xfId="0" applyFont="1"/>
    <xf borderId="13" fillId="0" fontId="14" numFmtId="0" xfId="0" applyBorder="1" applyFont="1"/>
    <xf borderId="0" fillId="0" fontId="3" numFmtId="0" xfId="0" applyFont="1"/>
    <xf borderId="12" fillId="0" fontId="19" numFmtId="0" xfId="0" applyBorder="1" applyFont="1"/>
    <xf borderId="12" fillId="0" fontId="2" numFmtId="0" xfId="0" applyBorder="1" applyFont="1"/>
    <xf borderId="1" fillId="0" fontId="18" numFmtId="0" xfId="0" applyBorder="1" applyFont="1"/>
    <xf borderId="1" fillId="0" fontId="10" numFmtId="0" xfId="0" applyBorder="1" applyFont="1"/>
    <xf borderId="5" fillId="0" fontId="14" numFmtId="0" xfId="0" applyBorder="1" applyFont="1"/>
    <xf borderId="0" fillId="3" fontId="20" numFmtId="0" xfId="0" applyFont="1"/>
    <xf borderId="0" fillId="0" fontId="19" numFmtId="0" xfId="0" applyFont="1"/>
    <xf borderId="12" fillId="0" fontId="3" numFmtId="0" xfId="0" applyBorder="1" applyFont="1"/>
    <xf borderId="1" fillId="0" fontId="21" numFmtId="0" xfId="0" applyBorder="1" applyFont="1"/>
    <xf borderId="0" fillId="0" fontId="2" numFmtId="0" xfId="0" applyAlignment="1" applyFont="1">
      <alignment shrinkToFit="0" wrapText="0"/>
    </xf>
    <xf borderId="13" fillId="0" fontId="2" numFmtId="0" xfId="0" applyBorder="1" applyFont="1"/>
    <xf borderId="13" fillId="0" fontId="2" numFmtId="0" xfId="0" applyAlignment="1" applyBorder="1" applyFont="1">
      <alignment readingOrder="0"/>
    </xf>
    <xf borderId="0" fillId="0" fontId="22" numFmtId="0" xfId="0" applyFont="1"/>
    <xf borderId="0" fillId="0" fontId="2" numFmtId="164" xfId="0" applyFont="1" applyNumberFormat="1"/>
    <xf borderId="1" fillId="0" fontId="22" numFmtId="0" xfId="0" applyBorder="1" applyFont="1"/>
    <xf borderId="0" fillId="0" fontId="23" numFmtId="0" xfId="0" applyAlignment="1" applyFont="1">
      <alignment vertical="bottom"/>
    </xf>
    <xf borderId="1" fillId="0" fontId="24" numFmtId="0" xfId="0" applyAlignment="1" applyBorder="1" applyFont="1">
      <alignment vertical="bottom"/>
    </xf>
    <xf borderId="1" fillId="0" fontId="23" numFmtId="0" xfId="0" applyAlignment="1" applyBorder="1" applyFont="1">
      <alignment vertical="bottom"/>
    </xf>
    <xf borderId="8" fillId="4" fontId="23" numFmtId="0" xfId="0" applyAlignment="1" applyBorder="1" applyFill="1" applyFont="1">
      <alignment vertical="bottom"/>
    </xf>
    <xf borderId="4" fillId="4" fontId="23" numFmtId="0" xfId="0" applyAlignment="1" applyBorder="1" applyFont="1">
      <alignment vertical="bottom"/>
    </xf>
    <xf borderId="9" fillId="4" fontId="23" numFmtId="0" xfId="0" applyAlignment="1" applyBorder="1" applyFont="1">
      <alignment vertical="bottom"/>
    </xf>
    <xf borderId="14" fillId="4" fontId="23" numFmtId="0" xfId="0" applyAlignment="1" applyBorder="1" applyFont="1">
      <alignment horizontal="right" vertical="bottom"/>
    </xf>
    <xf borderId="0" fillId="4" fontId="23" numFmtId="0" xfId="0" applyAlignment="1" applyFont="1">
      <alignment horizontal="right" vertical="bottom"/>
    </xf>
    <xf borderId="14" fillId="0" fontId="23" numFmtId="0" xfId="0" applyAlignment="1" applyBorder="1" applyFont="1">
      <alignment vertical="bottom"/>
    </xf>
    <xf borderId="0" fillId="0" fontId="25" numFmtId="0" xfId="0" applyFont="1"/>
    <xf borderId="0" fillId="0" fontId="23" numFmtId="0" xfId="0" applyAlignment="1" applyFont="1">
      <alignment horizontal="right" vertical="bottom"/>
    </xf>
    <xf borderId="4" fillId="0" fontId="23" numFmtId="0" xfId="0" applyAlignment="1" applyBorder="1" applyFont="1">
      <alignment vertical="bottom"/>
    </xf>
    <xf borderId="0" fillId="0" fontId="26" numFmtId="0" xfId="0" applyAlignment="1" applyFont="1">
      <alignment horizontal="left"/>
    </xf>
    <xf borderId="0" fillId="0" fontId="24" numFmtId="0" xfId="0" applyAlignment="1" applyFont="1">
      <alignment vertical="bottom"/>
    </xf>
    <xf borderId="5" fillId="0" fontId="23" numFmtId="0" xfId="0" applyAlignment="1" applyBorder="1" applyFont="1">
      <alignment vertical="bottom"/>
    </xf>
    <xf borderId="5" fillId="0" fontId="23" numFmtId="0" xfId="0" applyAlignment="1" applyBorder="1" applyFont="1">
      <alignment horizontal="right" vertical="bottom"/>
    </xf>
    <xf borderId="0" fillId="0" fontId="27" numFmtId="0" xfId="0" applyFont="1"/>
    <xf borderId="6" fillId="0" fontId="23" numFmtId="0" xfId="0" applyAlignment="1" applyBorder="1" applyFont="1">
      <alignment vertical="bottom"/>
    </xf>
    <xf borderId="6" fillId="0" fontId="23" numFmtId="0" xfId="0" applyAlignment="1" applyBorder="1" applyFont="1">
      <alignment horizontal="right" vertical="bottom"/>
    </xf>
    <xf borderId="1" fillId="0" fontId="19" numFmtId="0" xfId="0" applyBorder="1" applyFont="1"/>
    <xf borderId="0" fillId="0" fontId="28" numFmtId="0" xfId="0" applyAlignment="1" applyFont="1">
      <alignment shrinkToFit="0" wrapText="1"/>
    </xf>
    <xf borderId="4" fillId="0" fontId="28" numFmtId="0" xfId="0" applyAlignment="1" applyBorder="1" applyFont="1">
      <alignment shrinkToFit="0" wrapText="1"/>
    </xf>
    <xf borderId="0" fillId="0" fontId="10" numFmtId="1" xfId="0" applyFont="1" applyNumberFormat="1"/>
    <xf borderId="1" fillId="0" fontId="10" numFmtId="0" xfId="0" applyAlignment="1" applyBorder="1" applyFont="1">
      <alignment vertical="bottom"/>
    </xf>
    <xf borderId="10" fillId="0" fontId="28" numFmtId="0" xfId="0" applyAlignment="1" applyBorder="1" applyFont="1">
      <alignment shrinkToFit="0" vertical="bottom" wrapText="1"/>
    </xf>
    <xf borderId="1" fillId="0" fontId="28" numFmtId="0" xfId="0" applyAlignment="1" applyBorder="1" applyFont="1">
      <alignment vertical="bottom"/>
    </xf>
    <xf borderId="15" fillId="0" fontId="10" numFmtId="0" xfId="0" applyAlignment="1" applyBorder="1" applyFont="1">
      <alignment vertical="bottom"/>
    </xf>
    <xf borderId="0" fillId="0" fontId="14" numFmtId="0" xfId="0" applyFont="1"/>
    <xf borderId="14" fillId="0" fontId="10" numFmtId="0" xfId="0" applyAlignment="1" applyBorder="1" applyFont="1">
      <alignment vertical="bottom"/>
    </xf>
    <xf borderId="0" fillId="0" fontId="10" numFmtId="0" xfId="0" applyAlignment="1" applyFont="1">
      <alignment shrinkToFit="0" vertical="bottom" wrapText="0"/>
    </xf>
    <xf borderId="9" fillId="0" fontId="10" numFmtId="0" xfId="0" applyAlignment="1" applyBorder="1" applyFont="1">
      <alignment vertical="bottom"/>
    </xf>
    <xf borderId="0" fillId="0" fontId="10" numFmtId="0" xfId="0" applyAlignment="1" applyFont="1">
      <alignment horizontal="right" vertical="bottom"/>
    </xf>
    <xf borderId="15" fillId="4" fontId="10" numFmtId="0" xfId="0" applyAlignment="1" applyBorder="1" applyFont="1">
      <alignment vertical="bottom"/>
    </xf>
    <xf borderId="0" fillId="4" fontId="2" numFmtId="0" xfId="0" applyFont="1"/>
    <xf borderId="10" fillId="0" fontId="10" numFmtId="0" xfId="0" applyAlignment="1" applyBorder="1" applyFont="1">
      <alignment vertical="bottom"/>
    </xf>
    <xf borderId="1" fillId="0" fontId="10" numFmtId="0" xfId="0" applyAlignment="1" applyBorder="1" applyFont="1">
      <alignment shrinkToFit="0" vertical="bottom" wrapText="0"/>
    </xf>
    <xf borderId="11" fillId="0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16" fillId="0" fontId="14" numFmtId="0" xfId="0" applyBorder="1" applyFont="1"/>
    <xf borderId="17" fillId="0" fontId="2" numFmtId="0" xfId="0" applyBorder="1" applyFont="1"/>
    <xf borderId="16" fillId="0" fontId="14" numFmtId="1" xfId="0" applyBorder="1" applyFont="1" applyNumberFormat="1"/>
    <xf borderId="2" fillId="0" fontId="28" numFmtId="0" xfId="0" applyAlignment="1" applyBorder="1" applyFont="1">
      <alignment shrinkToFit="0" vertical="bottom" wrapText="1"/>
    </xf>
    <xf borderId="4" fillId="0" fontId="2" numFmtId="0" xfId="0" applyBorder="1" applyFont="1"/>
    <xf borderId="0" fillId="0" fontId="28" numFmtId="0" xfId="0" applyFont="1"/>
    <xf borderId="15" fillId="0" fontId="2" numFmtId="0" xfId="0" applyBorder="1" applyFont="1"/>
    <xf borderId="1" fillId="0" fontId="28" numFmtId="0" xfId="0" applyBorder="1" applyFont="1"/>
    <xf borderId="1" fillId="0" fontId="28" numFmtId="0" xfId="0" applyAlignment="1" applyBorder="1" applyFont="1">
      <alignment shrinkToFit="0" wrapText="1"/>
    </xf>
    <xf borderId="14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8" fillId="0" fontId="29" numFmtId="0" xfId="0" applyAlignment="1" applyBorder="1" applyFont="1">
      <alignment vertical="bottom"/>
    </xf>
    <xf borderId="1" fillId="0" fontId="3" numFmtId="0" xfId="0" applyBorder="1" applyFont="1"/>
    <xf borderId="15" fillId="0" fontId="23" numFmtId="0" xfId="0" applyAlignment="1" applyBorder="1" applyFont="1">
      <alignment vertical="bottom"/>
    </xf>
    <xf borderId="0" fillId="0" fontId="11" numFmtId="0" xfId="0" applyFont="1"/>
    <xf borderId="14" fillId="0" fontId="24" numFmtId="0" xfId="0" applyAlignment="1" applyBorder="1" applyFont="1">
      <alignment vertical="bottom"/>
    </xf>
    <xf borderId="8" fillId="0" fontId="24" numFmtId="0" xfId="0" applyAlignment="1" applyBorder="1" applyFont="1">
      <alignment vertical="bottom"/>
    </xf>
    <xf borderId="9" fillId="0" fontId="23" numFmtId="0" xfId="0" applyAlignment="1" applyBorder="1" applyFont="1">
      <alignment vertical="bottom"/>
    </xf>
    <xf borderId="0" fillId="0" fontId="23" numFmtId="165" xfId="0" applyAlignment="1" applyFont="1" applyNumberFormat="1">
      <alignment horizontal="right" vertical="bottom"/>
    </xf>
    <xf borderId="15" fillId="0" fontId="23" numFmtId="165" xfId="0" applyAlignment="1" applyBorder="1" applyFont="1" applyNumberFormat="1">
      <alignment horizontal="right" vertical="bottom"/>
    </xf>
    <xf borderId="14" fillId="0" fontId="23" numFmtId="164" xfId="0" applyAlignment="1" applyBorder="1" applyFont="1" applyNumberFormat="1">
      <alignment vertical="bottom"/>
    </xf>
    <xf borderId="10" fillId="5" fontId="23" numFmtId="0" xfId="0" applyAlignment="1" applyBorder="1" applyFill="1" applyFont="1">
      <alignment vertical="bottom"/>
    </xf>
    <xf borderId="1" fillId="5" fontId="23" numFmtId="165" xfId="0" applyAlignment="1" applyBorder="1" applyFont="1" applyNumberFormat="1">
      <alignment horizontal="right" vertical="bottom"/>
    </xf>
    <xf borderId="15" fillId="0" fontId="23" numFmtId="0" xfId="0" applyAlignment="1" applyBorder="1" applyFont="1">
      <alignment horizontal="right" vertical="bottom"/>
    </xf>
    <xf borderId="18" fillId="0" fontId="2" numFmtId="0" xfId="0" applyBorder="1" applyFont="1"/>
    <xf borderId="14" fillId="0" fontId="23" numFmtId="0" xfId="0" applyAlignment="1" applyBorder="1" applyFont="1">
      <alignment shrinkToFit="0" vertical="bottom" wrapText="1"/>
    </xf>
    <xf borderId="15" fillId="0" fontId="23" numFmtId="165" xfId="0" applyAlignment="1" applyBorder="1" applyFont="1" applyNumberFormat="1">
      <alignment vertical="bottom"/>
    </xf>
    <xf borderId="10" fillId="0" fontId="23" numFmtId="0" xfId="0" applyAlignment="1" applyBorder="1" applyFont="1">
      <alignment vertical="bottom"/>
    </xf>
    <xf borderId="11" fillId="0" fontId="23" numFmtId="165" xfId="0" applyAlignment="1" applyBorder="1" applyFont="1" applyNumberFormat="1">
      <alignment horizontal="right" vertical="bottom"/>
    </xf>
    <xf borderId="9" fillId="0" fontId="23" numFmtId="165" xfId="0" applyAlignment="1" applyBorder="1" applyFont="1" applyNumberFormat="1">
      <alignment vertical="bottom"/>
    </xf>
    <xf borderId="10" fillId="6" fontId="23" numFmtId="0" xfId="0" applyAlignment="1" applyBorder="1" applyFill="1" applyFont="1">
      <alignment vertical="bottom"/>
    </xf>
    <xf borderId="1" fillId="6" fontId="23" numFmtId="165" xfId="0" applyAlignment="1" applyBorder="1" applyFont="1" applyNumberFormat="1">
      <alignment horizontal="right" vertical="bottom"/>
    </xf>
    <xf borderId="15" fillId="0" fontId="23" numFmtId="3" xfId="0" applyAlignment="1" applyBorder="1" applyFont="1" applyNumberFormat="1">
      <alignment horizontal="right" vertical="bottom"/>
    </xf>
    <xf borderId="19" fillId="0" fontId="23" numFmtId="0" xfId="0" applyAlignment="1" applyBorder="1" applyFont="1">
      <alignment vertical="bottom"/>
    </xf>
    <xf borderId="6" fillId="0" fontId="23" numFmtId="165" xfId="0" applyAlignment="1" applyBorder="1" applyFont="1" applyNumberFormat="1">
      <alignment horizontal="right" vertical="bottom"/>
    </xf>
    <xf borderId="5" fillId="3" fontId="23" numFmtId="0" xfId="0" applyAlignment="1" applyBorder="1" applyFont="1">
      <alignment vertical="bottom"/>
    </xf>
    <xf borderId="3" fillId="0" fontId="23" numFmtId="165" xfId="0" applyAlignment="1" applyBorder="1" applyFont="1" applyNumberFormat="1">
      <alignment horizontal="right" vertical="bottom"/>
    </xf>
    <xf borderId="0" fillId="0" fontId="30" numFmtId="0" xfId="0" applyAlignment="1" applyFont="1">
      <alignment readingOrder="0"/>
    </xf>
    <xf borderId="0" fillId="0" fontId="30" numFmtId="0" xfId="0" applyFont="1"/>
    <xf borderId="0" fillId="0" fontId="6" numFmtId="165" xfId="0" applyFont="1" applyNumberFormat="1"/>
    <xf borderId="0" fillId="2" fontId="31" numFmtId="0" xfId="0" applyFont="1"/>
    <xf borderId="0" fillId="2" fontId="32" numFmtId="0" xfId="0" applyFont="1"/>
    <xf borderId="0" fillId="2" fontId="31" numFmtId="0" xfId="0" applyAlignment="1" applyFont="1">
      <alignment readingOrder="0"/>
    </xf>
    <xf borderId="0" fillId="2" fontId="13" numFmtId="0" xfId="0" applyAlignment="1" applyFont="1">
      <alignment shrinkToFit="0" wrapText="1"/>
    </xf>
    <xf borderId="0" fillId="2" fontId="13" numFmtId="0" xfId="0" applyAlignment="1" applyFont="1">
      <alignment horizontal="center" shrinkToFit="0" wrapText="1"/>
    </xf>
    <xf borderId="0" fillId="2" fontId="33" numFmtId="0" xfId="0" applyAlignment="1" applyFont="1">
      <alignment horizontal="center" shrinkToFit="0" wrapText="1"/>
    </xf>
    <xf borderId="0" fillId="2" fontId="12" numFmtId="0" xfId="0" applyAlignment="1" applyFont="1">
      <alignment shrinkToFit="0" wrapText="1"/>
    </xf>
    <xf borderId="0" fillId="2" fontId="12" numFmtId="3" xfId="0" applyAlignment="1" applyFont="1" applyNumberFormat="1">
      <alignment horizontal="right" shrinkToFit="0" wrapText="1"/>
    </xf>
    <xf borderId="0" fillId="2" fontId="12" numFmtId="3" xfId="0" applyAlignment="1" applyFont="1" applyNumberFormat="1">
      <alignment shrinkToFit="0" wrapText="1"/>
    </xf>
    <xf borderId="0" fillId="2" fontId="32" numFmtId="3" xfId="0" applyAlignment="1" applyFont="1" applyNumberFormat="1">
      <alignment horizontal="right" shrinkToFit="0" wrapText="1"/>
    </xf>
    <xf borderId="0" fillId="2" fontId="31" numFmtId="3" xfId="0" applyFont="1" applyNumberFormat="1"/>
    <xf borderId="0" fillId="2" fontId="12" numFmtId="0" xfId="0" applyAlignment="1" applyFont="1">
      <alignment horizontal="right" shrinkToFit="0" wrapText="1"/>
    </xf>
    <xf borderId="0" fillId="2" fontId="12" numFmtId="4" xfId="0" applyAlignment="1" applyFont="1" applyNumberFormat="1">
      <alignment horizontal="right" shrinkToFit="0" wrapText="1"/>
    </xf>
    <xf borderId="0" fillId="2" fontId="32" numFmtId="3" xfId="0" applyAlignment="1" applyFont="1" applyNumberFormat="1">
      <alignment shrinkToFit="0" wrapText="1"/>
    </xf>
    <xf borderId="8" fillId="0" fontId="34" numFmtId="0" xfId="0" applyBorder="1" applyFont="1"/>
    <xf borderId="4" fillId="0" fontId="31" numFmtId="0" xfId="0" applyBorder="1" applyFont="1"/>
    <xf borderId="9" fillId="2" fontId="31" numFmtId="0" xfId="0" applyBorder="1" applyFont="1"/>
    <xf borderId="0" fillId="0" fontId="12" numFmtId="0" xfId="0" applyAlignment="1" applyFont="1">
      <alignment shrinkToFit="0" wrapText="1"/>
    </xf>
    <xf borderId="0" fillId="0" fontId="12" numFmtId="3" xfId="0" applyAlignment="1" applyFont="1" applyNumberFormat="1">
      <alignment shrinkToFit="0" wrapText="1"/>
    </xf>
    <xf borderId="14" fillId="0" fontId="31" numFmtId="0" xfId="0" applyBorder="1" applyFont="1"/>
    <xf borderId="0" fillId="0" fontId="31" numFmtId="0" xfId="0" applyFont="1"/>
    <xf borderId="15" fillId="2" fontId="31" numFmtId="0" xfId="0" applyBorder="1" applyFont="1"/>
    <xf borderId="0" fillId="2" fontId="12" numFmtId="4" xfId="0" applyAlignment="1" applyFont="1" applyNumberFormat="1">
      <alignment shrinkToFit="0" wrapText="1"/>
    </xf>
    <xf borderId="15" fillId="0" fontId="31" numFmtId="0" xfId="0" applyBorder="1" applyFont="1"/>
    <xf borderId="8" fillId="0" fontId="34" numFmtId="0" xfId="0" applyAlignment="1" applyBorder="1" applyFont="1">
      <alignment readingOrder="0"/>
    </xf>
    <xf borderId="9" fillId="0" fontId="31" numFmtId="0" xfId="0" applyBorder="1" applyFont="1"/>
    <xf borderId="0" fillId="2" fontId="31" numFmtId="0" xfId="0" applyAlignment="1" applyFont="1">
      <alignment shrinkToFit="0" vertical="bottom" wrapText="1"/>
    </xf>
    <xf borderId="0" fillId="2" fontId="31" numFmtId="3" xfId="0" applyAlignment="1" applyFont="1" applyNumberFormat="1">
      <alignment vertical="bottom"/>
    </xf>
    <xf borderId="0" fillId="2" fontId="31" numFmtId="3" xfId="0" applyAlignment="1" applyFont="1" applyNumberFormat="1">
      <alignment horizontal="right" shrinkToFit="0" vertical="bottom" wrapText="1"/>
    </xf>
    <xf borderId="0" fillId="2" fontId="35" numFmtId="3" xfId="0" applyAlignment="1" applyFont="1" applyNumberFormat="1">
      <alignment horizontal="right" shrinkToFit="0" vertical="bottom" wrapText="1"/>
    </xf>
    <xf borderId="0" fillId="2" fontId="31" numFmtId="3" xfId="0" applyAlignment="1" applyFont="1" applyNumberFormat="1">
      <alignment horizontal="right" vertical="bottom"/>
    </xf>
    <xf borderId="4" fillId="2" fontId="12" numFmtId="0" xfId="0" applyAlignment="1" applyBorder="1" applyFont="1">
      <alignment shrinkToFit="0" wrapText="1"/>
    </xf>
    <xf borderId="4" fillId="2" fontId="12" numFmtId="3" xfId="0" applyAlignment="1" applyBorder="1" applyFont="1" applyNumberFormat="1">
      <alignment horizontal="right" shrinkToFit="0" wrapText="1"/>
    </xf>
    <xf borderId="4" fillId="2" fontId="32" numFmtId="3" xfId="0" applyAlignment="1" applyBorder="1" applyFont="1" applyNumberFormat="1">
      <alignment horizontal="right" shrinkToFit="0" wrapText="1"/>
    </xf>
    <xf borderId="4" fillId="0" fontId="32" numFmtId="3" xfId="0" applyAlignment="1" applyBorder="1" applyFont="1" applyNumberFormat="1">
      <alignment horizontal="right" shrinkToFit="0" wrapText="1"/>
    </xf>
    <xf borderId="4" fillId="2" fontId="31" numFmtId="3" xfId="0" applyBorder="1" applyFont="1" applyNumberFormat="1"/>
    <xf borderId="15" fillId="0" fontId="31" numFmtId="0" xfId="0" applyAlignment="1" applyBorder="1" applyFont="1">
      <alignment readingOrder="0"/>
    </xf>
    <xf borderId="14" fillId="0" fontId="31" numFmtId="0" xfId="0" applyAlignment="1" applyBorder="1" applyFont="1">
      <alignment readingOrder="0"/>
    </xf>
    <xf borderId="0" fillId="2" fontId="12" numFmtId="0" xfId="0" applyAlignment="1" applyFont="1">
      <alignment readingOrder="0"/>
    </xf>
    <xf borderId="0" fillId="2" fontId="32" numFmtId="0" xfId="0" applyAlignment="1" applyFont="1">
      <alignment horizontal="right" shrinkToFit="0" wrapText="1"/>
    </xf>
    <xf borderId="0" fillId="2" fontId="31" numFmtId="166" xfId="0" applyFont="1" applyNumberFormat="1"/>
    <xf borderId="0" fillId="0" fontId="12" numFmtId="0" xfId="0" applyFont="1"/>
    <xf borderId="1" fillId="2" fontId="12" numFmtId="0" xfId="0" applyAlignment="1" applyBorder="1" applyFont="1">
      <alignment shrinkToFit="0" wrapText="1"/>
    </xf>
    <xf borderId="1" fillId="2" fontId="12" numFmtId="0" xfId="0" applyAlignment="1" applyBorder="1" applyFont="1">
      <alignment horizontal="right" shrinkToFit="0" wrapText="1"/>
    </xf>
    <xf borderId="1" fillId="2" fontId="32" numFmtId="0" xfId="0" applyAlignment="1" applyBorder="1" applyFont="1">
      <alignment horizontal="right" shrinkToFit="0" wrapText="1"/>
    </xf>
    <xf borderId="1" fillId="2" fontId="31" numFmtId="0" xfId="0" applyBorder="1" applyFont="1"/>
    <xf borderId="1" fillId="2" fontId="31" numFmtId="166" xfId="0" applyBorder="1" applyFont="1" applyNumberFormat="1"/>
    <xf borderId="10" fillId="0" fontId="31" numFmtId="0" xfId="0" applyAlignment="1" applyBorder="1" applyFont="1">
      <alignment readingOrder="0"/>
    </xf>
    <xf borderId="11" fillId="0" fontId="31" numFmtId="0" xfId="0" applyBorder="1" applyFont="1"/>
    <xf borderId="11" fillId="2" fontId="31" numFmtId="0" xfId="0" applyBorder="1" applyFont="1"/>
    <xf borderId="6" fillId="2" fontId="12" numFmtId="0" xfId="0" applyAlignment="1" applyBorder="1" applyFont="1">
      <alignment shrinkToFit="0" wrapText="1"/>
    </xf>
    <xf borderId="6" fillId="2" fontId="32" numFmtId="3" xfId="0" applyAlignment="1" applyBorder="1" applyFont="1" applyNumberFormat="1">
      <alignment shrinkToFit="0" wrapText="1"/>
    </xf>
    <xf borderId="6" fillId="2" fontId="12" numFmtId="3" xfId="0" applyAlignment="1" applyBorder="1" applyFont="1" applyNumberFormat="1">
      <alignment shrinkToFit="0" wrapText="1"/>
    </xf>
    <xf borderId="6" fillId="2" fontId="32" numFmtId="3" xfId="0" applyAlignment="1" applyBorder="1" applyFont="1" applyNumberFormat="1">
      <alignment horizontal="right" shrinkToFit="0" wrapText="1"/>
    </xf>
    <xf borderId="6" fillId="2" fontId="12" numFmtId="3" xfId="0" applyAlignment="1" applyBorder="1" applyFont="1" applyNumberFormat="1">
      <alignment horizontal="right" shrinkToFit="0" wrapText="1"/>
    </xf>
    <xf borderId="6" fillId="2" fontId="31" numFmtId="0" xfId="0" applyBorder="1" applyFont="1"/>
    <xf borderId="0" fillId="0" fontId="12" numFmtId="0" xfId="0" applyAlignment="1" applyFont="1">
      <alignment horizontal="right" shrinkToFit="0" wrapText="1"/>
    </xf>
    <xf borderId="8" fillId="0" fontId="34" numFmtId="0" xfId="0" applyAlignment="1" applyBorder="1" applyFont="1">
      <alignment readingOrder="0" vertical="bottom"/>
    </xf>
    <xf borderId="9" fillId="0" fontId="31" numFmtId="0" xfId="0" applyAlignment="1" applyBorder="1" applyFont="1">
      <alignment vertical="bottom"/>
    </xf>
    <xf borderId="0" fillId="0" fontId="34" numFmtId="0" xfId="0" applyAlignment="1" applyFont="1">
      <alignment vertical="bottom"/>
    </xf>
    <xf borderId="15" fillId="3" fontId="31" numFmtId="0" xfId="0" applyAlignment="1" applyBorder="1" applyFont="1">
      <alignment vertical="bottom"/>
    </xf>
    <xf borderId="14" fillId="0" fontId="31" numFmtId="0" xfId="0" applyAlignment="1" applyBorder="1" applyFont="1">
      <alignment vertical="bottom"/>
    </xf>
    <xf borderId="15" fillId="0" fontId="31" numFmtId="0" xfId="0" applyAlignment="1" applyBorder="1" applyFont="1">
      <alignment horizontal="right" vertical="bottom"/>
    </xf>
    <xf borderId="0" fillId="0" fontId="31" numFmtId="0" xfId="0" applyAlignment="1" applyFont="1">
      <alignment vertical="bottom"/>
    </xf>
    <xf borderId="15" fillId="3" fontId="31" numFmtId="0" xfId="0" applyAlignment="1" applyBorder="1" applyFont="1">
      <alignment horizontal="right" vertical="bottom"/>
    </xf>
    <xf borderId="0" fillId="2" fontId="32" numFmtId="0" xfId="0" applyAlignment="1" applyFont="1">
      <alignment shrinkToFit="0" wrapText="1"/>
    </xf>
    <xf borderId="0" fillId="2" fontId="36" numFmtId="0" xfId="0" applyFont="1"/>
    <xf borderId="11" fillId="0" fontId="31" numFmtId="0" xfId="0" applyAlignment="1" applyBorder="1" applyFont="1">
      <alignment horizontal="right" vertical="bottom"/>
    </xf>
    <xf borderId="0" fillId="0" fontId="32" numFmtId="0" xfId="0" applyAlignment="1" applyFont="1">
      <alignment shrinkToFit="0" wrapText="1"/>
    </xf>
    <xf borderId="0" fillId="7" fontId="12" numFmtId="0" xfId="0" applyAlignment="1" applyFill="1" applyFont="1">
      <alignment shrinkToFit="0" wrapText="1"/>
    </xf>
    <xf borderId="15" fillId="0" fontId="6" numFmtId="0" xfId="0" applyBorder="1" applyFont="1"/>
    <xf borderId="20" fillId="0" fontId="3" numFmtId="0" xfId="0" applyBorder="1" applyFont="1"/>
    <xf borderId="21" fillId="2" fontId="12" numFmtId="0" xfId="0" applyAlignment="1" applyBorder="1" applyFont="1">
      <alignment shrinkToFit="0" wrapText="1"/>
    </xf>
    <xf borderId="22" fillId="2" fontId="12" numFmtId="0" xfId="0" applyAlignment="1" applyBorder="1" applyFont="1">
      <alignment shrinkToFit="0" wrapText="1"/>
    </xf>
    <xf borderId="0" fillId="0" fontId="35" numFmtId="0" xfId="0" applyAlignment="1" applyFont="1">
      <alignment shrinkToFit="0" wrapText="1"/>
    </xf>
    <xf borderId="0" fillId="2" fontId="3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10" fillId="7" fontId="31" numFmtId="0" xfId="0" applyBorder="1" applyFont="1"/>
    <xf borderId="1" fillId="7" fontId="31" numFmtId="0" xfId="0" applyBorder="1" applyFont="1"/>
    <xf borderId="1" fillId="0" fontId="31" numFmtId="0" xfId="0" applyBorder="1" applyFont="1"/>
    <xf borderId="1" fillId="0" fontId="2" numFmtId="0" xfId="0" applyAlignment="1" applyBorder="1" applyFont="1">
      <alignment readingOrder="0"/>
    </xf>
    <xf borderId="23" fillId="2" fontId="13" numFmtId="0" xfId="0" applyAlignment="1" applyBorder="1" applyFont="1">
      <alignment vertical="center"/>
    </xf>
    <xf borderId="24" fillId="2" fontId="12" numFmtId="0" xfId="0" applyAlignment="1" applyBorder="1" applyFont="1">
      <alignment shrinkToFit="0" wrapText="1"/>
    </xf>
    <xf borderId="23" fillId="2" fontId="12" numFmtId="0" xfId="0" applyAlignment="1" applyBorder="1" applyFont="1">
      <alignment shrinkToFit="0" wrapText="1"/>
    </xf>
    <xf borderId="0" fillId="0" fontId="12" numFmtId="0" xfId="0" applyAlignment="1" applyFont="1">
      <alignment readingOrder="0" shrinkToFit="0" wrapText="1"/>
    </xf>
    <xf borderId="0" fillId="2" fontId="35" numFmtId="0" xfId="0" applyAlignment="1" applyFont="1">
      <alignment shrinkToFit="0" wrapText="1"/>
    </xf>
    <xf borderId="0" fillId="0" fontId="32" numFmtId="3" xfId="0" applyAlignment="1" applyFont="1" applyNumberFormat="1">
      <alignment shrinkToFit="0" wrapText="1"/>
    </xf>
    <xf borderId="23" fillId="2" fontId="34" numFmtId="0" xfId="0" applyBorder="1" applyFont="1"/>
    <xf borderId="0" fillId="2" fontId="35" numFmtId="0" xfId="0" applyFont="1"/>
    <xf borderId="24" fillId="0" fontId="12" numFmtId="0" xfId="0" applyAlignment="1" applyBorder="1" applyFont="1">
      <alignment shrinkToFit="0" wrapText="0"/>
    </xf>
    <xf borderId="0" fillId="2" fontId="36" numFmtId="0" xfId="0" applyAlignment="1" applyFont="1">
      <alignment shrinkToFit="0" wrapText="1"/>
    </xf>
    <xf borderId="23" fillId="2" fontId="31" numFmtId="0" xfId="0" applyBorder="1" applyFont="1"/>
    <xf borderId="24" fillId="0" fontId="12" numFmtId="0" xfId="0" applyAlignment="1" applyBorder="1" applyFont="1">
      <alignment shrinkToFit="0" wrapText="1"/>
    </xf>
    <xf borderId="0" fillId="2" fontId="37" numFmtId="0" xfId="0" applyFont="1"/>
    <xf borderId="12" fillId="2" fontId="13" numFmtId="0" xfId="0" applyAlignment="1" applyBorder="1" applyFont="1">
      <alignment shrinkToFit="0" wrapText="1"/>
    </xf>
    <xf borderId="12" fillId="2" fontId="13" numFmtId="3" xfId="0" applyAlignment="1" applyBorder="1" applyFont="1" applyNumberFormat="1">
      <alignment horizontal="right" shrinkToFit="0" wrapText="1"/>
    </xf>
    <xf borderId="24" fillId="0" fontId="31" numFmtId="0" xfId="0" applyBorder="1" applyFont="1"/>
    <xf borderId="0" fillId="3" fontId="20" numFmtId="0" xfId="0" applyAlignment="1" applyFont="1">
      <alignment readingOrder="0"/>
    </xf>
    <xf borderId="0" fillId="0" fontId="34" numFmtId="0" xfId="0" applyFont="1"/>
    <xf borderId="0" fillId="0" fontId="38" numFmtId="0" xfId="0" applyFont="1"/>
    <xf borderId="2" fillId="0" fontId="3" numFmtId="0" xfId="0" applyAlignment="1" applyBorder="1" applyFont="1">
      <alignment vertical="bottom"/>
    </xf>
    <xf borderId="5" fillId="0" fontId="31" numFmtId="0" xfId="0" applyBorder="1" applyFont="1"/>
    <xf borderId="5" fillId="0" fontId="31" numFmtId="3" xfId="0" applyBorder="1" applyFont="1" applyNumberFormat="1"/>
    <xf borderId="5" fillId="0" fontId="2" numFmtId="0" xfId="0" applyBorder="1" applyFont="1"/>
    <xf borderId="3" fillId="0" fontId="2" numFmtId="0" xfId="0" applyBorder="1" applyFont="1"/>
    <xf borderId="25" fillId="2" fontId="31" numFmtId="0" xfId="0" applyBorder="1" applyFont="1"/>
    <xf borderId="26" fillId="2" fontId="31" numFmtId="0" xfId="0" applyBorder="1" applyFont="1"/>
    <xf borderId="14" fillId="0" fontId="21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  <xf borderId="15" fillId="0" fontId="2" numFmtId="3" xfId="0" applyBorder="1" applyFont="1" applyNumberFormat="1"/>
    <xf borderId="0" fillId="0" fontId="31" numFmtId="3" xfId="0" applyFont="1" applyNumberFormat="1"/>
    <xf borderId="10" fillId="0" fontId="2" numFmtId="0" xfId="0" applyAlignment="1" applyBorder="1" applyFont="1">
      <alignment vertical="bottom"/>
    </xf>
    <xf borderId="11" fillId="0" fontId="2" numFmtId="3" xfId="0" applyBorder="1" applyFont="1" applyNumberFormat="1"/>
    <xf borderId="15" fillId="7" fontId="2" numFmtId="0" xfId="0" applyBorder="1" applyFont="1"/>
    <xf borderId="1" fillId="0" fontId="31" numFmtId="3" xfId="0" applyBorder="1" applyFont="1" applyNumberFormat="1"/>
    <xf borderId="19" fillId="0" fontId="2" numFmtId="0" xfId="0" applyAlignment="1" applyBorder="1" applyFont="1">
      <alignment vertical="bottom"/>
    </xf>
    <xf borderId="6" fillId="0" fontId="31" numFmtId="0" xfId="0" applyBorder="1" applyFont="1"/>
    <xf borderId="27" fillId="2" fontId="10" numFmtId="3" xfId="0" applyBorder="1" applyFont="1" applyNumberFormat="1"/>
    <xf borderId="2" fillId="0" fontId="2" numFmtId="0" xfId="0" applyBorder="1" applyFont="1"/>
    <xf borderId="14" fillId="0" fontId="10" numFmtId="0" xfId="0" applyBorder="1" applyFont="1"/>
    <xf borderId="14" fillId="0" fontId="3" numFmtId="0" xfId="0" applyAlignment="1" applyBorder="1" applyFont="1">
      <alignment readingOrder="0"/>
    </xf>
    <xf borderId="14" fillId="0" fontId="2" numFmtId="0" xfId="0" applyAlignment="1" applyBorder="1" applyFont="1">
      <alignment shrinkToFit="0" wrapText="0"/>
    </xf>
    <xf borderId="2" fillId="3" fontId="14" numFmtId="0" xfId="0" applyBorder="1" applyFont="1"/>
    <xf borderId="10" fillId="0" fontId="3" numFmtId="0" xfId="0" applyAlignment="1" applyBorder="1" applyFont="1">
      <alignment shrinkToFit="0" wrapText="1"/>
    </xf>
    <xf borderId="11" fillId="0" fontId="3" numFmtId="0" xfId="0" applyBorder="1" applyFont="1"/>
    <xf borderId="2" fillId="3" fontId="39" numFmtId="0" xfId="0" applyBorder="1" applyFont="1"/>
    <xf borderId="15" fillId="0" fontId="2" numFmtId="0" xfId="0" applyAlignment="1" applyBorder="1" applyFont="1">
      <alignment readingOrder="0"/>
    </xf>
    <xf borderId="0" fillId="0" fontId="40" numFmtId="0" xfId="0" applyAlignment="1" applyFont="1">
      <alignment shrinkToFit="0" vertical="bottom" wrapText="0"/>
    </xf>
    <xf borderId="0" fillId="0" fontId="41" numFmtId="2" xfId="0" applyAlignment="1" applyFont="1" applyNumberFormat="1">
      <alignment horizontal="right" vertical="top"/>
    </xf>
    <xf borderId="15" fillId="0" fontId="2" numFmtId="1" xfId="0" applyBorder="1" applyFont="1" applyNumberFormat="1"/>
    <xf borderId="11" fillId="0" fontId="2" numFmtId="1" xfId="0" applyBorder="1" applyFont="1" applyNumberFormat="1"/>
    <xf borderId="10" fillId="0" fontId="2" numFmtId="0" xfId="0" applyAlignment="1" applyBorder="1" applyFont="1">
      <alignment readingOrder="0"/>
    </xf>
    <xf borderId="0" fillId="0" fontId="10" numFmtId="2" xfId="0" applyAlignment="1" applyFont="1" applyNumberFormat="1">
      <alignment horizontal="right" vertical="bottom"/>
    </xf>
    <xf borderId="0" fillId="0" fontId="23" numFmtId="2" xfId="0" applyAlignment="1" applyFont="1" applyNumberFormat="1">
      <alignment horizontal="right" vertical="bottom"/>
    </xf>
    <xf borderId="0" fillId="0" fontId="19" numFmtId="0" xfId="0" applyAlignment="1" applyFont="1">
      <alignment readingOrder="0"/>
    </xf>
    <xf borderId="4" fillId="0" fontId="10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8.0"/>
    <col customWidth="1" min="2" max="2" width="24.57"/>
    <col customWidth="1" min="4" max="4" width="12.86"/>
    <col customWidth="1" min="5" max="6" width="9.0"/>
    <col customWidth="1" min="9" max="9" width="9.29"/>
    <col customWidth="1" min="11" max="11" width="0.43"/>
    <col customWidth="1" min="12" max="12" width="5.71"/>
    <col customWidth="1" min="13" max="13" width="22.86"/>
    <col customWidth="1" min="14" max="14" width="7.29"/>
  </cols>
  <sheetData>
    <row r="1" ht="18.0" customHeight="1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/>
      <c r="B2" s="2"/>
      <c r="C2" s="3"/>
      <c r="D2" s="5" t="s">
        <v>1</v>
      </c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7" t="s">
        <v>2</v>
      </c>
      <c r="B3" s="8"/>
      <c r="C3" s="3"/>
      <c r="D3" s="9" t="s">
        <v>3</v>
      </c>
      <c r="E3" s="3"/>
      <c r="F3" s="3"/>
      <c r="G3" s="3"/>
      <c r="H3" s="3"/>
      <c r="I3" s="3"/>
      <c r="J3" s="3"/>
      <c r="K3" s="3"/>
      <c r="L3" s="3"/>
      <c r="M3" s="1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2"/>
      <c r="C4" s="3"/>
      <c r="D4" s="4" t="s">
        <v>4</v>
      </c>
      <c r="E4" s="11"/>
      <c r="F4" s="11"/>
      <c r="G4" s="12"/>
      <c r="H4" s="11"/>
      <c r="I4" s="12"/>
      <c r="J4" s="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 t="s">
        <v>5</v>
      </c>
      <c r="B5" s="2"/>
      <c r="C5" s="3"/>
      <c r="D5" s="9" t="s">
        <v>6</v>
      </c>
      <c r="E5" s="12"/>
      <c r="F5" s="12"/>
      <c r="G5" s="12"/>
      <c r="H5" s="13"/>
      <c r="I5" s="12"/>
      <c r="J5" s="1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5" t="s">
        <v>7</v>
      </c>
      <c r="B6" s="16">
        <v>0.12</v>
      </c>
      <c r="C6" s="3"/>
      <c r="E6" s="3"/>
      <c r="F6" s="3"/>
      <c r="G6" s="3"/>
      <c r="I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B7" s="2"/>
      <c r="C7" s="3"/>
      <c r="D7" s="12"/>
      <c r="E7" s="3"/>
      <c r="F7" s="3"/>
      <c r="G7" s="3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17"/>
      <c r="C8" s="18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7"/>
      <c r="D9" s="12"/>
      <c r="E9" s="3"/>
      <c r="F9" s="3"/>
      <c r="G9" s="3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20"/>
      <c r="B10" s="21"/>
      <c r="C10" s="20"/>
      <c r="D10" s="20"/>
      <c r="E10" s="3"/>
      <c r="F10" s="3"/>
      <c r="G10" s="3"/>
      <c r="H10" s="2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20"/>
      <c r="B11" s="23" t="s">
        <v>8</v>
      </c>
      <c r="C11" s="24" t="s">
        <v>9</v>
      </c>
      <c r="D11" s="25" t="s">
        <v>10</v>
      </c>
      <c r="E11" s="3"/>
      <c r="F11" s="3"/>
      <c r="G11" s="3"/>
      <c r="H11" s="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6" t="s">
        <v>11</v>
      </c>
      <c r="B12" s="27"/>
      <c r="C12" s="28"/>
      <c r="D12" s="28"/>
      <c r="E12" s="3"/>
      <c r="G12" s="3"/>
      <c r="H12" s="22"/>
      <c r="J12" s="5" t="s">
        <v>12</v>
      </c>
      <c r="K12" s="6"/>
      <c r="L12" s="29"/>
      <c r="M12" s="29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0" t="s">
        <v>13</v>
      </c>
      <c r="B13" s="31"/>
      <c r="C13" s="31"/>
      <c r="D13" s="31"/>
      <c r="E13" s="3"/>
      <c r="F13" s="3"/>
      <c r="G13" s="3"/>
      <c r="H13" s="2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9" t="s">
        <v>14</v>
      </c>
      <c r="B14" s="32">
        <f>Treningsbudsjett!J14+Treningsbudsjett!J19</f>
        <v>333200</v>
      </c>
      <c r="C14" s="32">
        <v>286223.0</v>
      </c>
      <c r="D14" s="32">
        <v>259100.0</v>
      </c>
      <c r="E14" s="3"/>
      <c r="F14" s="3"/>
      <c r="G14" s="3"/>
      <c r="H14" s="3"/>
      <c r="I14" s="3"/>
      <c r="J14" s="3"/>
      <c r="K14" s="3"/>
      <c r="L14" s="3"/>
      <c r="M14" s="3"/>
      <c r="N14" s="33">
        <f t="shared" ref="N14:N21" si="1">C14-D14</f>
        <v>27123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9" t="s">
        <v>15</v>
      </c>
      <c r="B15" s="32">
        <f>Medlemskontigent!D9</f>
        <v>361020</v>
      </c>
      <c r="C15" s="34">
        <v>361174.0</v>
      </c>
      <c r="D15" s="32">
        <v>296210.0</v>
      </c>
      <c r="E15" s="3"/>
      <c r="F15" s="3"/>
      <c r="G15" s="3"/>
      <c r="H15" s="3"/>
      <c r="I15" s="3"/>
      <c r="J15" s="3"/>
      <c r="K15" s="3"/>
      <c r="L15" s="3"/>
      <c r="M15" s="3"/>
      <c r="N15" s="33">
        <f t="shared" si="1"/>
        <v>64964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9" t="s">
        <v>16</v>
      </c>
      <c r="B16" s="32">
        <f>Kurs!I11</f>
        <v>109794.375</v>
      </c>
      <c r="C16" s="35">
        <v>120300.0</v>
      </c>
      <c r="D16" s="32">
        <v>138625.0</v>
      </c>
      <c r="E16" s="3"/>
      <c r="F16" s="3"/>
      <c r="G16" s="3"/>
      <c r="H16" s="22"/>
      <c r="N16" s="33">
        <f t="shared" si="1"/>
        <v>-18325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9" t="s">
        <v>17</v>
      </c>
      <c r="B17" s="32">
        <f>Driftstilskudd!G27</f>
        <v>13000</v>
      </c>
      <c r="C17" s="34">
        <v>24926.0</v>
      </c>
      <c r="D17" s="32">
        <v>11000.0</v>
      </c>
      <c r="E17" s="3" t="s">
        <v>18</v>
      </c>
      <c r="F17" s="3"/>
      <c r="G17" s="3"/>
      <c r="H17" s="3"/>
      <c r="I17" s="3"/>
      <c r="J17" s="3"/>
      <c r="K17" s="3"/>
      <c r="L17" s="3"/>
      <c r="M17" s="3"/>
      <c r="N17" s="33">
        <f t="shared" si="1"/>
        <v>13926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9" t="s">
        <v>19</v>
      </c>
      <c r="B18" s="32">
        <v>0.0</v>
      </c>
      <c r="C18" s="32"/>
      <c r="D18" s="32">
        <v>0.0</v>
      </c>
      <c r="E18" s="3"/>
      <c r="F18" s="3"/>
      <c r="G18" s="3"/>
      <c r="H18" s="3"/>
      <c r="I18" s="3"/>
      <c r="J18" s="3"/>
      <c r="K18" s="3"/>
      <c r="L18" s="3"/>
      <c r="M18" s="3"/>
      <c r="N18" s="33">
        <f t="shared" si="1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9" t="s">
        <v>20</v>
      </c>
      <c r="B19" s="32">
        <v>7200.0</v>
      </c>
      <c r="C19" s="32">
        <v>5160.0</v>
      </c>
      <c r="D19" s="32">
        <v>7200.0</v>
      </c>
      <c r="E19" s="3" t="s">
        <v>21</v>
      </c>
      <c r="F19" s="3"/>
      <c r="G19" s="3"/>
      <c r="H19" s="3"/>
      <c r="I19" s="3"/>
      <c r="J19" s="3"/>
      <c r="K19" s="3"/>
      <c r="L19" s="3"/>
      <c r="M19" s="3"/>
      <c r="N19" s="33">
        <f t="shared" si="1"/>
        <v>-2040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9" t="s">
        <v>22</v>
      </c>
      <c r="B20" s="32">
        <v>3000.0</v>
      </c>
      <c r="C20" s="32">
        <v>12412.0</v>
      </c>
      <c r="D20" s="32">
        <v>3000.0</v>
      </c>
      <c r="E20" s="3" t="s">
        <v>23</v>
      </c>
      <c r="F20" s="3"/>
      <c r="G20" s="3"/>
      <c r="H20" s="3"/>
      <c r="I20" s="3"/>
      <c r="J20" s="3"/>
      <c r="K20" s="3"/>
      <c r="L20" s="3"/>
      <c r="M20" s="3"/>
      <c r="N20" s="33">
        <f t="shared" si="1"/>
        <v>9412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9" t="s">
        <v>24</v>
      </c>
      <c r="B21" s="32">
        <v>15000.0</v>
      </c>
      <c r="C21" s="32">
        <v>9300.0</v>
      </c>
      <c r="D21" s="32">
        <v>20000.0</v>
      </c>
      <c r="E21" s="3" t="s">
        <v>25</v>
      </c>
      <c r="F21" s="3"/>
      <c r="G21" s="3"/>
      <c r="H21" s="3"/>
      <c r="I21" s="3"/>
      <c r="J21" s="36"/>
      <c r="K21" s="36"/>
      <c r="L21" s="3"/>
      <c r="M21" s="3"/>
      <c r="N21" s="33">
        <f t="shared" si="1"/>
        <v>-10700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7" t="s">
        <v>26</v>
      </c>
      <c r="B22" s="38">
        <f t="shared" ref="B22:D22" si="2">SUM(B14:B21)</f>
        <v>842214.375</v>
      </c>
      <c r="C22" s="38">
        <f t="shared" si="2"/>
        <v>819495</v>
      </c>
      <c r="D22" s="38">
        <f t="shared" si="2"/>
        <v>735135</v>
      </c>
      <c r="E22" s="3"/>
      <c r="F22" s="3"/>
      <c r="G22" s="3"/>
      <c r="H22" s="3"/>
      <c r="I22" s="3"/>
      <c r="J22" s="3"/>
      <c r="K22" s="3"/>
      <c r="L22" s="3"/>
      <c r="M22" s="39" t="s">
        <v>27</v>
      </c>
      <c r="N22" s="40">
        <f>SUM(N14:N21)</f>
        <v>84360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6" t="s">
        <v>28</v>
      </c>
      <c r="B23" s="32"/>
      <c r="C23" s="32"/>
      <c r="D23" s="32"/>
      <c r="E23" s="3"/>
      <c r="F23" s="3"/>
      <c r="G23" s="3"/>
      <c r="H23" s="3"/>
      <c r="I23" s="3"/>
      <c r="J23" s="3"/>
      <c r="K23" s="3"/>
      <c r="L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9" t="s">
        <v>29</v>
      </c>
      <c r="B24" s="32">
        <f>Driftstilskudd!G8+Arrangement!D20+Arrangement!D21+Arrangement!D23</f>
        <v>414717</v>
      </c>
      <c r="C24" s="34">
        <v>260930.0</v>
      </c>
      <c r="D24" s="32">
        <v>246518.0</v>
      </c>
      <c r="E24" s="41" t="s">
        <v>30</v>
      </c>
      <c r="F24" s="3"/>
      <c r="G24" s="3"/>
      <c r="H24" s="3"/>
      <c r="I24" s="3"/>
      <c r="J24" s="3"/>
      <c r="K24" s="3"/>
      <c r="L24" s="3"/>
      <c r="M24" s="3"/>
      <c r="N24" s="33">
        <f t="shared" ref="N24:N27" si="3">C24-D24</f>
        <v>14412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9" t="s">
        <v>31</v>
      </c>
      <c r="B25" s="34">
        <v>35000.0</v>
      </c>
      <c r="C25" s="32">
        <v>33400.0</v>
      </c>
      <c r="D25" s="32">
        <v>20000.0</v>
      </c>
      <c r="E25" s="3"/>
      <c r="F25" s="3"/>
      <c r="G25" s="3"/>
      <c r="H25" s="3"/>
      <c r="I25" s="3"/>
      <c r="J25" s="3"/>
      <c r="K25" s="3"/>
      <c r="L25" s="3"/>
      <c r="M25" s="3"/>
      <c r="N25" s="33">
        <f t="shared" si="3"/>
        <v>13400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2" t="s">
        <v>32</v>
      </c>
      <c r="B26" s="32">
        <f>Arrangement!D22</f>
        <v>40000</v>
      </c>
      <c r="C26" s="32"/>
      <c r="D26" s="32"/>
      <c r="E26" s="3"/>
      <c r="F26" s="3"/>
      <c r="G26" s="3"/>
      <c r="H26" s="3"/>
      <c r="I26" s="3"/>
      <c r="J26" s="3"/>
      <c r="K26" s="3"/>
      <c r="L26" s="3"/>
      <c r="M26" s="3"/>
      <c r="N26" s="33">
        <f t="shared" si="3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9" t="s">
        <v>33</v>
      </c>
      <c r="B27" s="32">
        <v>500.0</v>
      </c>
      <c r="C27" s="32">
        <v>7743.0</v>
      </c>
      <c r="D27" s="32">
        <v>500.0</v>
      </c>
      <c r="E27" s="3"/>
      <c r="F27" s="3"/>
      <c r="G27" s="3"/>
      <c r="H27" s="3"/>
      <c r="I27" s="3"/>
      <c r="J27" s="3"/>
      <c r="K27" s="3"/>
      <c r="L27" s="3"/>
      <c r="M27" s="3"/>
      <c r="N27" s="33">
        <f t="shared" si="3"/>
        <v>7243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7" t="s">
        <v>34</v>
      </c>
      <c r="B28" s="38">
        <f t="shared" ref="B28:D28" si="4">SUM(B24:B27)</f>
        <v>490217</v>
      </c>
      <c r="C28" s="38">
        <f t="shared" si="4"/>
        <v>302073</v>
      </c>
      <c r="D28" s="38">
        <f t="shared" si="4"/>
        <v>267018</v>
      </c>
      <c r="E28" s="3"/>
      <c r="F28" s="3"/>
      <c r="G28" s="3"/>
      <c r="H28" s="3"/>
      <c r="I28" s="3"/>
      <c r="J28" s="3"/>
      <c r="K28" s="3"/>
      <c r="L28" s="3"/>
      <c r="M28" s="39" t="s">
        <v>35</v>
      </c>
      <c r="N28" s="40">
        <f>SUM(N24:N27)</f>
        <v>35055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3" t="s">
        <v>36</v>
      </c>
      <c r="B29" s="44">
        <f t="shared" ref="B29:D29" si="5">SUM(B22+B28)</f>
        <v>1332431.375</v>
      </c>
      <c r="C29" s="44">
        <f t="shared" si="5"/>
        <v>1121568</v>
      </c>
      <c r="D29" s="44">
        <f t="shared" si="5"/>
        <v>1002153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6" t="s">
        <v>37</v>
      </c>
      <c r="B30" s="32"/>
      <c r="C30" s="32"/>
      <c r="D30" s="3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0" t="s">
        <v>38</v>
      </c>
      <c r="B31" s="45"/>
      <c r="C31" s="45"/>
      <c r="D31" s="4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6" t="s">
        <v>39</v>
      </c>
      <c r="B32" s="32">
        <f>Kurs!L29+Kurs!C34</f>
        <v>37000</v>
      </c>
      <c r="C32" s="32">
        <v>892.0</v>
      </c>
      <c r="D32" s="32">
        <v>13000.0</v>
      </c>
      <c r="E32" s="14" t="s">
        <v>40</v>
      </c>
      <c r="F32" s="3"/>
      <c r="G32" s="3"/>
      <c r="H32" s="3"/>
      <c r="I32" s="3"/>
      <c r="J32" s="3"/>
      <c r="K32" s="3"/>
      <c r="L32" s="3"/>
      <c r="M32" s="3"/>
      <c r="N32" s="33">
        <f t="shared" ref="N32:N36" si="6">C32-D32</f>
        <v>-12108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9" t="s">
        <v>41</v>
      </c>
      <c r="B33" s="32">
        <f>(Treningsbudsjett!J20 +Treningsbudsjett!J25)*-1</f>
        <v>79740</v>
      </c>
      <c r="C33" s="32">
        <v>6630.0</v>
      </c>
      <c r="D33" s="32">
        <v>24740.0</v>
      </c>
      <c r="E33" s="3" t="s">
        <v>42</v>
      </c>
      <c r="F33" s="3"/>
      <c r="G33" s="3"/>
      <c r="H33" s="3"/>
      <c r="I33" s="3"/>
      <c r="J33" s="3"/>
      <c r="K33" s="3"/>
      <c r="L33" s="3"/>
      <c r="M33" s="3"/>
      <c r="N33" s="33">
        <f t="shared" si="6"/>
        <v>-18110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9" t="s">
        <v>43</v>
      </c>
      <c r="B34" s="32">
        <f>Treningsbudsjett!J22*-1-6000</f>
        <v>30000</v>
      </c>
      <c r="C34" s="34">
        <v>11567.0</v>
      </c>
      <c r="D34" s="32">
        <v>36000.0</v>
      </c>
      <c r="E34" s="4" t="s">
        <v>44</v>
      </c>
      <c r="F34" s="3"/>
      <c r="G34" s="3"/>
      <c r="H34" s="3"/>
      <c r="I34" s="3"/>
      <c r="J34" s="3"/>
      <c r="K34" s="3"/>
      <c r="L34" s="3"/>
      <c r="M34" s="3"/>
      <c r="N34" s="33">
        <f t="shared" si="6"/>
        <v>-24433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9" t="s">
        <v>45</v>
      </c>
      <c r="B35" s="32">
        <f>Arrangement!A12</f>
        <v>40000</v>
      </c>
      <c r="C35" s="32">
        <v>4256.0</v>
      </c>
      <c r="D35" s="32">
        <v>40000.0</v>
      </c>
      <c r="E35" s="3" t="s">
        <v>46</v>
      </c>
      <c r="F35" s="3"/>
      <c r="G35" s="3"/>
      <c r="H35" s="3"/>
      <c r="I35" s="3"/>
      <c r="J35" s="3"/>
      <c r="K35" s="3"/>
      <c r="L35" s="3"/>
      <c r="M35" s="3"/>
      <c r="N35" s="33">
        <f t="shared" si="6"/>
        <v>-35744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9" t="s">
        <v>47</v>
      </c>
      <c r="B36" s="32">
        <f>20000+B25</f>
        <v>55000</v>
      </c>
      <c r="C36" s="32">
        <v>53451.0</v>
      </c>
      <c r="D36" s="32">
        <v>40000.0</v>
      </c>
      <c r="E36" s="3" t="s">
        <v>48</v>
      </c>
      <c r="F36" s="3"/>
      <c r="G36" s="3"/>
      <c r="H36" s="3"/>
      <c r="I36" s="3"/>
      <c r="J36" s="3"/>
      <c r="K36" s="3"/>
      <c r="L36" s="3"/>
      <c r="M36" s="3"/>
      <c r="N36" s="33">
        <f t="shared" si="6"/>
        <v>13451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7" t="s">
        <v>49</v>
      </c>
      <c r="B37" s="38">
        <f t="shared" ref="B37:D37" si="7">SUM(B32:B36)</f>
        <v>241740</v>
      </c>
      <c r="C37" s="38">
        <f t="shared" si="7"/>
        <v>76796</v>
      </c>
      <c r="D37" s="38">
        <f t="shared" si="7"/>
        <v>153740</v>
      </c>
      <c r="E37" s="3"/>
      <c r="F37" s="3"/>
      <c r="G37" s="3"/>
      <c r="H37" s="3"/>
      <c r="I37" s="3"/>
      <c r="J37" s="3"/>
      <c r="K37" s="3"/>
      <c r="L37" s="3"/>
      <c r="M37" s="39" t="s">
        <v>50</v>
      </c>
      <c r="N37" s="40">
        <f>SUM(N32:N36)</f>
        <v>-76944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6" t="s">
        <v>51</v>
      </c>
      <c r="B38" s="32"/>
      <c r="C38" s="32"/>
      <c r="D38" s="3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9" t="s">
        <v>52</v>
      </c>
      <c r="B39" s="32">
        <f>(346500/52*47)+15000</f>
        <v>328182.6923</v>
      </c>
      <c r="C39" s="32">
        <v>313750.0</v>
      </c>
      <c r="D39" s="32">
        <v>313269.0</v>
      </c>
      <c r="E39" s="14" t="s">
        <v>53</v>
      </c>
      <c r="F39" s="3"/>
      <c r="G39" s="3"/>
      <c r="H39" s="3"/>
      <c r="I39" s="3"/>
      <c r="J39" s="3"/>
      <c r="K39" s="3"/>
      <c r="L39" s="3"/>
      <c r="M39" s="3"/>
      <c r="N39" s="33">
        <f t="shared" ref="N39:N42" si="8">C39-D39</f>
        <v>481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2" t="s">
        <v>54</v>
      </c>
      <c r="B40" s="32">
        <f>Treningsbudsjett!G23+Kurs!C44</f>
        <v>251470.7143</v>
      </c>
      <c r="C40" s="32">
        <v>197900.0</v>
      </c>
      <c r="D40" s="32">
        <v>238117.0</v>
      </c>
      <c r="E40" s="4" t="s">
        <v>55</v>
      </c>
      <c r="F40" s="3"/>
      <c r="G40" s="3"/>
      <c r="H40" s="3"/>
      <c r="I40" s="3"/>
      <c r="J40" s="3"/>
      <c r="K40" s="3"/>
      <c r="L40" s="3"/>
      <c r="M40" s="3"/>
      <c r="N40" s="33">
        <f t="shared" si="8"/>
        <v>-40217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2" t="s">
        <v>56</v>
      </c>
      <c r="B41" s="32">
        <f>(B39)/52*47*feriepengesats+Treningsbudsjett!G24+Kurs!C45</f>
        <v>65771.68542</v>
      </c>
      <c r="C41" s="32">
        <v>61398.0</v>
      </c>
      <c r="D41" s="32">
        <v>33978.0</v>
      </c>
      <c r="E41" s="4" t="s">
        <v>57</v>
      </c>
      <c r="F41" s="3"/>
      <c r="G41" s="3"/>
      <c r="H41" s="3"/>
      <c r="I41" s="3"/>
      <c r="J41" s="3"/>
      <c r="K41" s="3"/>
      <c r="L41" s="3"/>
      <c r="M41" s="3"/>
      <c r="N41" s="33">
        <f t="shared" si="8"/>
        <v>27420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9" t="s">
        <v>58</v>
      </c>
      <c r="B42" s="32">
        <f>(B39+B41)/100*14.1</f>
        <v>55547.56726</v>
      </c>
      <c r="C42" s="32">
        <v>44239.0</v>
      </c>
      <c r="D42" s="32">
        <v>48962.0</v>
      </c>
      <c r="E42" s="3" t="s">
        <v>59</v>
      </c>
      <c r="F42" s="3"/>
      <c r="G42" s="3"/>
      <c r="H42" s="3"/>
      <c r="I42" s="3"/>
      <c r="J42" s="3"/>
      <c r="K42" s="3"/>
      <c r="L42" s="3"/>
      <c r="M42" s="3"/>
      <c r="N42" s="33">
        <f t="shared" si="8"/>
        <v>-4723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2" t="s">
        <v>60</v>
      </c>
      <c r="B43" s="34">
        <v>3600.0</v>
      </c>
      <c r="C43" s="34">
        <v>4392.0</v>
      </c>
      <c r="D43" s="32"/>
      <c r="E43" s="4" t="s">
        <v>61</v>
      </c>
      <c r="F43" s="3"/>
      <c r="G43" s="3"/>
      <c r="H43" s="3"/>
      <c r="I43" s="3"/>
      <c r="J43" s="3"/>
      <c r="K43" s="3"/>
      <c r="L43" s="3"/>
      <c r="M43" s="3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9" t="s">
        <v>62</v>
      </c>
      <c r="B44" s="32">
        <f>'Øvrige '!C35+6000</f>
        <v>9500</v>
      </c>
      <c r="C44" s="32">
        <v>2342.0</v>
      </c>
      <c r="D44" s="32">
        <v>0.0</v>
      </c>
      <c r="E44" s="4" t="s">
        <v>63</v>
      </c>
      <c r="F44" s="3"/>
      <c r="G44" s="3"/>
      <c r="H44" s="3"/>
      <c r="I44" s="3"/>
      <c r="J44" s="3"/>
      <c r="K44" s="3"/>
      <c r="L44" s="3"/>
      <c r="M44" s="3"/>
      <c r="N44" s="33">
        <f>C44-D44</f>
        <v>2342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7" t="s">
        <v>64</v>
      </c>
      <c r="B45" s="38">
        <f t="shared" ref="B45:D45" si="9">SUM(B39:B44)</f>
        <v>714072.6593</v>
      </c>
      <c r="C45" s="38">
        <f t="shared" si="9"/>
        <v>624021</v>
      </c>
      <c r="D45" s="38">
        <f t="shared" si="9"/>
        <v>634326</v>
      </c>
      <c r="E45" s="3"/>
      <c r="F45" s="3"/>
      <c r="G45" s="3"/>
      <c r="H45" s="3"/>
      <c r="I45" s="3"/>
      <c r="J45" s="3"/>
      <c r="K45" s="3"/>
      <c r="L45" s="3"/>
      <c r="M45" s="39" t="s">
        <v>65</v>
      </c>
      <c r="N45" s="40">
        <f>SUM(N39:N44)</f>
        <v>-14697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6" t="s">
        <v>66</v>
      </c>
      <c r="B46" s="32"/>
      <c r="C46" s="32"/>
      <c r="D46" s="3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9" t="s">
        <v>67</v>
      </c>
      <c r="B47" s="32">
        <v>2500.0</v>
      </c>
      <c r="C47" s="32">
        <v>800.0</v>
      </c>
      <c r="D47" s="32">
        <v>0.0</v>
      </c>
      <c r="E47" s="3" t="s">
        <v>68</v>
      </c>
      <c r="F47" s="3"/>
      <c r="G47" s="3"/>
      <c r="H47" s="3"/>
      <c r="I47" s="3"/>
      <c r="J47" s="3"/>
      <c r="K47" s="3"/>
      <c r="L47" s="3"/>
      <c r="M47" s="3"/>
      <c r="N47" s="33">
        <f>C47-D47</f>
        <v>800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2" t="s">
        <v>69</v>
      </c>
      <c r="B48" s="32">
        <f>Arrangement!D32</f>
        <v>25000</v>
      </c>
      <c r="C48" s="32"/>
      <c r="D48" s="32"/>
      <c r="E48" s="3" t="s">
        <v>70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9" t="s">
        <v>71</v>
      </c>
      <c r="B49" s="32">
        <f>'Øvrige '!D25</f>
        <v>29310</v>
      </c>
      <c r="C49" s="32">
        <v>27116.0</v>
      </c>
      <c r="D49" s="32">
        <v>24310.0</v>
      </c>
      <c r="E49" s="3" t="s">
        <v>72</v>
      </c>
      <c r="F49" s="3"/>
      <c r="G49" s="3"/>
      <c r="H49" s="3"/>
      <c r="I49" s="3"/>
      <c r="J49" s="3"/>
      <c r="K49" s="3"/>
      <c r="L49" s="3"/>
      <c r="M49" s="3"/>
      <c r="N49" s="33">
        <f>C49-D49</f>
        <v>2806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2" t="s">
        <v>73</v>
      </c>
      <c r="B50" s="32">
        <f>Arrangement!D33</f>
        <v>50000</v>
      </c>
      <c r="C50" s="32"/>
      <c r="D50" s="32"/>
      <c r="E50" s="3" t="s">
        <v>74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9" t="s">
        <v>75</v>
      </c>
      <c r="B51" s="32">
        <v>4000.0</v>
      </c>
      <c r="C51" s="32">
        <v>0.0</v>
      </c>
      <c r="D51" s="32">
        <v>4000.0</v>
      </c>
      <c r="E51" s="3" t="s">
        <v>76</v>
      </c>
      <c r="F51" s="3"/>
      <c r="G51" s="3"/>
      <c r="H51" s="3"/>
      <c r="I51" s="3"/>
      <c r="J51" s="3"/>
      <c r="K51" s="3"/>
      <c r="L51" s="3"/>
      <c r="M51" s="3"/>
      <c r="N51" s="33">
        <f t="shared" ref="N51:N64" si="10">C51-D51</f>
        <v>-4000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9" t="s">
        <v>77</v>
      </c>
      <c r="B52" s="32">
        <v>30000.0</v>
      </c>
      <c r="C52" s="32">
        <v>24734.0</v>
      </c>
      <c r="D52" s="32">
        <v>30000.0</v>
      </c>
      <c r="E52" s="3" t="s">
        <v>78</v>
      </c>
      <c r="F52" s="3"/>
      <c r="G52" s="3"/>
      <c r="H52" s="3"/>
      <c r="I52" s="3"/>
      <c r="J52" s="3"/>
      <c r="K52" s="3"/>
      <c r="L52" s="3"/>
      <c r="M52" s="3"/>
      <c r="N52" s="33">
        <f t="shared" si="10"/>
        <v>-5266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9" t="s">
        <v>79</v>
      </c>
      <c r="B53" s="32">
        <v>3000.0</v>
      </c>
      <c r="C53" s="32">
        <v>233.0</v>
      </c>
      <c r="D53" s="32">
        <v>3000.0</v>
      </c>
      <c r="E53" s="3"/>
      <c r="F53" s="3"/>
      <c r="G53" s="3"/>
      <c r="H53" s="3"/>
      <c r="I53" s="3"/>
      <c r="J53" s="3"/>
      <c r="K53" s="3"/>
      <c r="L53" s="3"/>
      <c r="M53" s="3"/>
      <c r="N53" s="33">
        <f t="shared" si="10"/>
        <v>-2767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9" t="s">
        <v>80</v>
      </c>
      <c r="B54" s="32">
        <v>10000.0</v>
      </c>
      <c r="C54" s="32">
        <v>5999.0</v>
      </c>
      <c r="D54" s="32">
        <v>10000.0</v>
      </c>
      <c r="E54" s="3" t="s">
        <v>81</v>
      </c>
      <c r="F54" s="3"/>
      <c r="G54" s="3"/>
      <c r="H54" s="3"/>
      <c r="I54" s="3"/>
      <c r="J54" s="3"/>
      <c r="K54" s="3"/>
      <c r="L54" s="3"/>
      <c r="M54" s="3"/>
      <c r="N54" s="33">
        <f t="shared" si="10"/>
        <v>-4001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9" t="s">
        <v>82</v>
      </c>
      <c r="B55" s="32">
        <f>'Øvrige '!C17+(Treningsbudsjett!J27*-1)+Arrangement!D28</f>
        <v>48000</v>
      </c>
      <c r="C55" s="32">
        <v>11572.0</v>
      </c>
      <c r="D55" s="32">
        <v>23000.0</v>
      </c>
      <c r="E55" s="3" t="s">
        <v>83</v>
      </c>
      <c r="F55" s="3"/>
      <c r="G55" s="3"/>
      <c r="H55" s="3"/>
      <c r="I55" s="3"/>
      <c r="J55" s="3"/>
      <c r="K55" s="3"/>
      <c r="L55" s="3"/>
      <c r="M55" s="3"/>
      <c r="N55" s="33">
        <f t="shared" si="10"/>
        <v>-11428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9" t="s">
        <v>84</v>
      </c>
      <c r="B56" s="32">
        <f>1020*20</f>
        <v>20400</v>
      </c>
      <c r="C56" s="32">
        <v>16640.0</v>
      </c>
      <c r="D56" s="32">
        <f>850*20</f>
        <v>17000</v>
      </c>
      <c r="E56" s="4" t="s">
        <v>85</v>
      </c>
      <c r="F56" s="3"/>
      <c r="G56" s="3"/>
      <c r="H56" s="3"/>
      <c r="I56" s="3"/>
      <c r="J56" s="3"/>
      <c r="K56" s="3"/>
      <c r="L56" s="3"/>
      <c r="M56" s="3"/>
      <c r="N56" s="33">
        <f t="shared" si="10"/>
        <v>-360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9" t="s">
        <v>86</v>
      </c>
      <c r="B57" s="34">
        <v>200.0</v>
      </c>
      <c r="C57" s="34">
        <v>687.0</v>
      </c>
      <c r="D57" s="32">
        <v>3600.0</v>
      </c>
      <c r="E57" s="4" t="s">
        <v>87</v>
      </c>
      <c r="F57" s="3"/>
      <c r="G57" s="3"/>
      <c r="H57" s="3"/>
      <c r="I57" s="3"/>
      <c r="J57" s="3"/>
      <c r="K57" s="3"/>
      <c r="L57" s="3"/>
      <c r="M57" s="3"/>
      <c r="N57" s="33">
        <f t="shared" si="10"/>
        <v>-2913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9" t="s">
        <v>88</v>
      </c>
      <c r="B58" s="32">
        <f>(Treningsbudsjett!J23*-1)</f>
        <v>5000</v>
      </c>
      <c r="C58" s="32">
        <v>16610.0</v>
      </c>
      <c r="D58" s="32">
        <v>12200.0</v>
      </c>
      <c r="E58" s="3" t="s">
        <v>89</v>
      </c>
      <c r="F58" s="3"/>
      <c r="G58" s="3"/>
      <c r="H58" s="3"/>
      <c r="I58" s="3"/>
      <c r="J58" s="3"/>
      <c r="K58" s="3"/>
      <c r="L58" s="3"/>
      <c r="M58" s="3"/>
      <c r="N58" s="33">
        <f t="shared" si="10"/>
        <v>4410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9" t="s">
        <v>90</v>
      </c>
      <c r="B59" s="32">
        <v>1500.0</v>
      </c>
      <c r="C59" s="32">
        <v>563.0</v>
      </c>
      <c r="D59" s="32">
        <v>1500.0</v>
      </c>
      <c r="E59" s="3" t="s">
        <v>91</v>
      </c>
      <c r="F59" s="3"/>
      <c r="G59" s="3"/>
      <c r="H59" s="3"/>
      <c r="I59" s="3"/>
      <c r="J59" s="3"/>
      <c r="K59" s="3"/>
      <c r="L59" s="3"/>
      <c r="M59" s="3"/>
      <c r="N59" s="33">
        <f t="shared" si="10"/>
        <v>-937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9" t="s">
        <v>92</v>
      </c>
      <c r="B60" s="32">
        <f>'Øvrige '!C10</f>
        <v>30000</v>
      </c>
      <c r="C60" s="34">
        <v>20411.0</v>
      </c>
      <c r="D60" s="32">
        <v>50000.0</v>
      </c>
      <c r="E60" s="3" t="s">
        <v>93</v>
      </c>
      <c r="F60" s="3"/>
      <c r="G60" s="3"/>
      <c r="H60" s="3"/>
      <c r="I60" s="3"/>
      <c r="J60" s="3"/>
      <c r="K60" s="3"/>
      <c r="L60" s="3"/>
      <c r="M60" s="3"/>
      <c r="N60" s="33">
        <f t="shared" si="10"/>
        <v>-29589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9" t="s">
        <v>94</v>
      </c>
      <c r="B61" s="32">
        <f>10000+Arrangement!D27+Arrangement!D30</f>
        <v>27000</v>
      </c>
      <c r="C61" s="32">
        <v>10550.0</v>
      </c>
      <c r="D61" s="32">
        <v>10000.0</v>
      </c>
      <c r="E61" s="47" t="s">
        <v>95</v>
      </c>
      <c r="F61" s="3"/>
      <c r="G61" s="3"/>
      <c r="H61" s="3"/>
      <c r="I61" s="3"/>
      <c r="J61" s="3"/>
      <c r="K61" s="3"/>
      <c r="L61" s="3"/>
      <c r="M61" s="3"/>
      <c r="N61" s="33">
        <f t="shared" si="10"/>
        <v>550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9" t="s">
        <v>96</v>
      </c>
      <c r="B62" s="32">
        <f>(Treningsbudsjett!J26*-1)+Arrangement!D31+4000</f>
        <v>38000</v>
      </c>
      <c r="C62" s="32">
        <v>5126.0</v>
      </c>
      <c r="D62" s="32">
        <v>8000.0</v>
      </c>
      <c r="E62" s="3" t="s">
        <v>97</v>
      </c>
      <c r="F62" s="3"/>
      <c r="G62" s="3"/>
      <c r="H62" s="3"/>
      <c r="I62" s="3"/>
      <c r="J62" s="3"/>
      <c r="K62" s="3"/>
      <c r="L62" s="3"/>
      <c r="M62" s="3"/>
      <c r="N62" s="33">
        <f t="shared" si="10"/>
        <v>-2874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9" t="s">
        <v>98</v>
      </c>
      <c r="B63" s="32">
        <f>Forsikring!C11</f>
        <v>17441</v>
      </c>
      <c r="C63" s="32">
        <v>16812.0</v>
      </c>
      <c r="D63" s="32">
        <v>6377.0</v>
      </c>
      <c r="E63" s="4" t="s">
        <v>99</v>
      </c>
      <c r="F63" s="3"/>
      <c r="G63" s="3"/>
      <c r="H63" s="3"/>
      <c r="I63" s="3"/>
      <c r="J63" s="3"/>
      <c r="K63" s="3"/>
      <c r="L63" s="3"/>
      <c r="M63" s="3"/>
      <c r="N63" s="33">
        <f t="shared" si="10"/>
        <v>10435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9" t="s">
        <v>100</v>
      </c>
      <c r="B64" s="32">
        <v>8000.0</v>
      </c>
      <c r="C64" s="32">
        <v>6942.0</v>
      </c>
      <c r="D64" s="32">
        <v>8000.0</v>
      </c>
      <c r="E64" s="3" t="s">
        <v>101</v>
      </c>
      <c r="F64" s="3"/>
      <c r="G64" s="3"/>
      <c r="H64" s="3"/>
      <c r="I64" s="3"/>
      <c r="J64" s="3"/>
      <c r="K64" s="3"/>
      <c r="L64" s="3"/>
      <c r="M64" s="3"/>
      <c r="N64" s="33">
        <f t="shared" si="10"/>
        <v>-1058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2" t="s">
        <v>102</v>
      </c>
      <c r="B65" s="32">
        <f>Arrangement!D29</f>
        <v>20000</v>
      </c>
      <c r="C65" s="34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7" t="s">
        <v>103</v>
      </c>
      <c r="B66" s="38">
        <f>SUM(B47:B64)</f>
        <v>349351</v>
      </c>
      <c r="C66" s="38">
        <f>SUM(C47:C65)</f>
        <v>164795</v>
      </c>
      <c r="D66" s="38">
        <f>SUM(D47:D64)</f>
        <v>210987</v>
      </c>
      <c r="E66" s="3"/>
      <c r="F66" s="3"/>
      <c r="G66" s="3"/>
      <c r="H66" s="3"/>
      <c r="I66" s="3"/>
      <c r="J66" s="3"/>
      <c r="K66" s="3"/>
      <c r="L66" s="3"/>
      <c r="M66" s="39" t="s">
        <v>104</v>
      </c>
      <c r="N66" s="40">
        <f>SUM(N47:N65)</f>
        <v>-46192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3" t="s">
        <v>105</v>
      </c>
      <c r="B67" s="44">
        <f t="shared" ref="B67:D67" si="11">B45+B66+B37</f>
        <v>1305163.659</v>
      </c>
      <c r="C67" s="44">
        <f t="shared" si="11"/>
        <v>865612</v>
      </c>
      <c r="D67" s="44">
        <f t="shared" si="11"/>
        <v>999053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8" t="s">
        <v>106</v>
      </c>
      <c r="B68" s="44">
        <f t="shared" ref="B68:D68" si="12">B29-B67</f>
        <v>27267.71573</v>
      </c>
      <c r="C68" s="44">
        <f t="shared" si="12"/>
        <v>255956</v>
      </c>
      <c r="D68" s="44">
        <f t="shared" si="12"/>
        <v>3100</v>
      </c>
      <c r="E68" s="3"/>
      <c r="F68" s="3"/>
      <c r="G68" s="3"/>
      <c r="H68" s="3"/>
      <c r="I68" s="3"/>
      <c r="J68" s="3"/>
      <c r="K68" s="3"/>
      <c r="L68" s="3"/>
      <c r="M68" s="3" t="s">
        <v>107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20"/>
      <c r="B69" s="32"/>
      <c r="C69" s="32"/>
      <c r="D69" s="20"/>
      <c r="E69" s="3"/>
      <c r="F69" s="3"/>
      <c r="G69" s="3"/>
      <c r="H69" s="3"/>
      <c r="I69" s="3"/>
      <c r="J69" s="3"/>
      <c r="K69" s="3"/>
      <c r="L69" s="3"/>
      <c r="M69" s="49"/>
      <c r="N69" s="50">
        <f>N22+N28+(N37*-1)+(N45*-1)+(N66*-1)</f>
        <v>257248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20"/>
      <c r="B70" s="32"/>
      <c r="C70" s="32"/>
      <c r="D70" s="2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" t="s">
        <v>108</v>
      </c>
      <c r="D71" s="28"/>
      <c r="E71" s="3"/>
      <c r="F71" s="3"/>
      <c r="G71" s="3"/>
      <c r="H71" s="3"/>
      <c r="I71" s="3"/>
      <c r="J71" s="3"/>
      <c r="K71" s="3"/>
      <c r="L71" s="3"/>
      <c r="M71" s="51" t="s">
        <v>109</v>
      </c>
      <c r="N71" s="5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26"/>
      <c r="B72" s="32"/>
      <c r="C72" s="32"/>
      <c r="D72" s="28"/>
      <c r="E72" s="3"/>
      <c r="F72" s="3"/>
      <c r="G72" s="3"/>
      <c r="H72" s="3"/>
      <c r="I72" s="3"/>
      <c r="J72" s="3"/>
      <c r="K72" s="3"/>
      <c r="L72" s="3"/>
      <c r="M72" s="53"/>
      <c r="N72" s="54">
        <f>N22+N28</f>
        <v>119415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9"/>
      <c r="B73" s="32"/>
      <c r="C73" s="32"/>
      <c r="D73" s="26"/>
      <c r="E73" s="3"/>
      <c r="F73" s="3"/>
      <c r="G73" s="3"/>
      <c r="H73" s="3"/>
      <c r="I73" s="3"/>
      <c r="J73" s="3"/>
      <c r="K73" s="3"/>
      <c r="L73" s="3"/>
      <c r="M73" s="51" t="s">
        <v>110</v>
      </c>
      <c r="N73" s="5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9"/>
      <c r="B74" s="32"/>
      <c r="C74" s="32"/>
      <c r="D74" s="56"/>
      <c r="E74" s="3"/>
      <c r="F74" s="3"/>
      <c r="G74" s="3"/>
      <c r="H74" s="3"/>
      <c r="I74" s="3"/>
      <c r="J74" s="3"/>
      <c r="K74" s="3"/>
      <c r="L74" s="3"/>
      <c r="M74" s="53"/>
      <c r="N74" s="54">
        <f>N37+N45+N66</f>
        <v>-137833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9"/>
      <c r="B75" s="32"/>
      <c r="C75" s="32"/>
      <c r="D75" s="56"/>
      <c r="E75" s="3"/>
      <c r="F75" s="3"/>
      <c r="G75" s="3"/>
      <c r="H75" s="3"/>
      <c r="I75" s="3"/>
      <c r="J75" s="3"/>
      <c r="K75" s="3"/>
      <c r="L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57"/>
      <c r="B76" s="32"/>
      <c r="C76" s="32"/>
      <c r="D76" s="5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57"/>
      <c r="B77" s="32"/>
      <c r="C77" s="32"/>
      <c r="D77" s="5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57"/>
      <c r="B78" s="32"/>
      <c r="C78" s="32"/>
      <c r="D78" s="5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57"/>
      <c r="B79" s="32"/>
      <c r="C79" s="32"/>
      <c r="D79" s="5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2"/>
      <c r="C80" s="3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2"/>
      <c r="C81" s="3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2"/>
      <c r="C82" s="3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2"/>
      <c r="C83" s="3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2"/>
      <c r="C84" s="3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2"/>
      <c r="C85" s="3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2"/>
      <c r="C86" s="3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2"/>
      <c r="C87" s="3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2"/>
      <c r="C88" s="3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2"/>
      <c r="C89" s="3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printOptions/>
  <pageMargins bottom="1.0" footer="0.0" header="0.0" left="0.75" right="0.75" top="1.0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6" width="9.0"/>
  </cols>
  <sheetData>
    <row r="1" ht="15.75" customHeight="1"/>
    <row r="2" ht="15.75" customHeight="1">
      <c r="A2" s="58"/>
    </row>
    <row r="3" ht="15.75" customHeight="1">
      <c r="A3" s="59" t="s">
        <v>111</v>
      </c>
      <c r="B3" s="60" t="s">
        <v>112</v>
      </c>
      <c r="C3" s="60" t="s">
        <v>113</v>
      </c>
      <c r="D3" s="60" t="s">
        <v>114</v>
      </c>
      <c r="G3" s="22"/>
    </row>
    <row r="4" ht="15.75" customHeight="1">
      <c r="A4" s="59" t="s">
        <v>115</v>
      </c>
      <c r="B4" s="60">
        <v>420.0</v>
      </c>
      <c r="C4" s="61">
        <v>850.0</v>
      </c>
      <c r="D4" s="60">
        <f t="shared" ref="D4:D5" si="1">B4*C4</f>
        <v>357000</v>
      </c>
      <c r="G4" s="22"/>
      <c r="I4" s="59"/>
      <c r="J4" s="60"/>
      <c r="K4" s="60"/>
      <c r="L4" s="60"/>
    </row>
    <row r="5" ht="15.75" customHeight="1">
      <c r="A5" s="59" t="s">
        <v>116</v>
      </c>
      <c r="B5" s="60">
        <f>150</f>
        <v>150</v>
      </c>
      <c r="C5" s="60">
        <v>110.0</v>
      </c>
      <c r="D5" s="60">
        <f t="shared" si="1"/>
        <v>16500</v>
      </c>
      <c r="G5" s="22"/>
      <c r="I5" s="59"/>
      <c r="J5" s="60"/>
      <c r="K5" s="60"/>
      <c r="L5" s="60"/>
    </row>
    <row r="6" ht="15.75" customHeight="1">
      <c r="I6" s="59"/>
      <c r="J6" s="60"/>
      <c r="K6" s="60"/>
      <c r="L6" s="60"/>
    </row>
    <row r="7" ht="15.75" customHeight="1">
      <c r="A7" s="62" t="s">
        <v>117</v>
      </c>
      <c r="B7" s="62">
        <v>13.0</v>
      </c>
      <c r="C7" s="62">
        <f>C4+C5</f>
        <v>960</v>
      </c>
      <c r="D7" s="62">
        <f>B7*C7</f>
        <v>12480</v>
      </c>
    </row>
    <row r="8" ht="15.75" customHeight="1">
      <c r="I8" s="22"/>
      <c r="J8" s="22"/>
      <c r="K8" s="22"/>
      <c r="L8" s="22"/>
    </row>
    <row r="9" ht="15.75" customHeight="1">
      <c r="A9" s="63" t="s">
        <v>118</v>
      </c>
      <c r="B9" s="64"/>
      <c r="C9" s="65">
        <f>SUM(C4:C5)</f>
        <v>960</v>
      </c>
      <c r="D9" s="65">
        <f>SUM(D4:D5)-D7</f>
        <v>361020</v>
      </c>
    </row>
    <row r="10" ht="15.75" customHeight="1">
      <c r="I10" s="59"/>
      <c r="J10" s="22"/>
      <c r="K10" s="60"/>
      <c r="L10" s="60"/>
    </row>
    <row r="11" ht="15.75" customHeight="1"/>
    <row r="12" ht="15.75" customHeight="1"/>
    <row r="13" ht="15.75" customHeight="1">
      <c r="I13" s="59"/>
      <c r="J13" s="60"/>
      <c r="K13" s="60"/>
      <c r="L13" s="60"/>
    </row>
    <row r="14" ht="15.75" customHeight="1">
      <c r="I14" s="59"/>
      <c r="J14" s="60"/>
      <c r="K14" s="60"/>
      <c r="L14" s="60"/>
    </row>
    <row r="15" ht="15.75" customHeight="1">
      <c r="I15" s="59"/>
      <c r="J15" s="60"/>
      <c r="K15" s="60"/>
      <c r="L15" s="60"/>
    </row>
    <row r="16" ht="15.75" customHeight="1"/>
    <row r="17" ht="15.75" customHeight="1">
      <c r="I17" s="22"/>
      <c r="J17" s="22"/>
      <c r="K17" s="22"/>
      <c r="L17" s="22"/>
    </row>
    <row r="18" ht="15.75" customHeight="1"/>
    <row r="19" ht="15.75" customHeight="1">
      <c r="I19" s="59"/>
      <c r="J19" s="22"/>
      <c r="K19" s="60"/>
      <c r="L19" s="6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3" width="9.0"/>
    <col customWidth="1" min="4" max="4" width="28.14"/>
    <col customWidth="1" min="5" max="5" width="12.86"/>
    <col customWidth="1" min="6" max="7" width="9.0"/>
    <col customWidth="1" min="8" max="8" width="14.29"/>
    <col customWidth="1" min="9" max="9" width="10.0"/>
  </cols>
  <sheetData>
    <row r="1" ht="15.75" customHeight="1">
      <c r="B1" s="66" t="s">
        <v>119</v>
      </c>
      <c r="I1" s="62" t="s">
        <v>120</v>
      </c>
      <c r="J1" s="62"/>
      <c r="K1" s="62"/>
      <c r="L1" s="62"/>
    </row>
    <row r="2" ht="15.75" customHeight="1">
      <c r="B2" s="60" t="s">
        <v>121</v>
      </c>
      <c r="G2" s="60">
        <f>G14</f>
        <v>85962</v>
      </c>
      <c r="H2" s="22"/>
      <c r="I2" s="22" t="s">
        <v>122</v>
      </c>
    </row>
    <row r="3" ht="15.75" customHeight="1">
      <c r="B3" s="22" t="s">
        <v>123</v>
      </c>
      <c r="G3" s="22">
        <f>G19</f>
        <v>41255</v>
      </c>
      <c r="H3" s="22"/>
      <c r="I3" s="22" t="s">
        <v>124</v>
      </c>
    </row>
    <row r="4" ht="15.75" customHeight="1">
      <c r="B4" s="60" t="s">
        <v>125</v>
      </c>
      <c r="C4" s="67"/>
      <c r="E4" s="60"/>
      <c r="F4" s="60"/>
      <c r="G4" s="60">
        <v>50000.0</v>
      </c>
      <c r="H4" s="22"/>
      <c r="I4" s="22" t="s">
        <v>126</v>
      </c>
    </row>
    <row r="5" ht="15.75" customHeight="1">
      <c r="B5" s="60" t="s">
        <v>127</v>
      </c>
      <c r="G5" s="61">
        <v>67500.0</v>
      </c>
      <c r="H5" s="22"/>
      <c r="I5" s="22" t="s">
        <v>128</v>
      </c>
    </row>
    <row r="6" ht="15.75" customHeight="1">
      <c r="B6" s="22" t="s">
        <v>129</v>
      </c>
      <c r="C6" s="22"/>
      <c r="D6" s="22"/>
      <c r="E6" s="22"/>
      <c r="F6" s="22"/>
      <c r="G6" s="22">
        <v>50000.0</v>
      </c>
      <c r="I6" s="22" t="s">
        <v>130</v>
      </c>
    </row>
    <row r="7" ht="15.75" customHeight="1"/>
    <row r="8" ht="15.75" customHeight="1">
      <c r="B8" s="68" t="s">
        <v>131</v>
      </c>
      <c r="C8" s="68"/>
      <c r="D8" s="68"/>
      <c r="E8" s="68"/>
      <c r="F8" s="68"/>
      <c r="G8" s="68">
        <f>SUM(G2:G6)</f>
        <v>294717</v>
      </c>
    </row>
    <row r="9" ht="15.75" customHeight="1">
      <c r="B9" s="69"/>
      <c r="G9" s="22"/>
    </row>
    <row r="10" ht="15.75" customHeight="1"/>
    <row r="11" ht="15.75" customHeight="1">
      <c r="B11" s="70" t="s">
        <v>132</v>
      </c>
      <c r="C11" s="71"/>
      <c r="D11" s="71"/>
      <c r="E11" s="71" t="s">
        <v>133</v>
      </c>
      <c r="F11" s="71" t="s">
        <v>134</v>
      </c>
      <c r="G11" s="71" t="s">
        <v>135</v>
      </c>
    </row>
    <row r="12" ht="15.75" customHeight="1">
      <c r="C12" s="67" t="s">
        <v>136</v>
      </c>
      <c r="E12" s="60">
        <v>82.0</v>
      </c>
      <c r="F12" s="60">
        <v>807.0</v>
      </c>
      <c r="G12" s="60">
        <f t="shared" ref="G12:G13" si="1">F12*E12</f>
        <v>66174</v>
      </c>
      <c r="H12" s="22"/>
    </row>
    <row r="13" ht="15.75" customHeight="1">
      <c r="C13" s="72" t="s">
        <v>137</v>
      </c>
      <c r="D13" s="62"/>
      <c r="E13" s="73">
        <v>68.0</v>
      </c>
      <c r="F13" s="73">
        <v>291.0</v>
      </c>
      <c r="G13" s="73">
        <f t="shared" si="1"/>
        <v>19788</v>
      </c>
      <c r="H13" s="22"/>
    </row>
    <row r="14" ht="15.75" customHeight="1">
      <c r="C14" s="74"/>
      <c r="D14" s="74"/>
      <c r="E14" s="74"/>
      <c r="F14" s="74" t="s">
        <v>138</v>
      </c>
      <c r="G14" s="74">
        <f>SUM(G12:G13)</f>
        <v>85962</v>
      </c>
      <c r="J14" s="75"/>
      <c r="K14" s="76"/>
      <c r="L14" s="22"/>
      <c r="M14" s="22"/>
      <c r="N14" s="22"/>
      <c r="O14" s="22"/>
    </row>
    <row r="15" ht="15.75" customHeight="1">
      <c r="L15" s="67"/>
      <c r="N15" s="60"/>
      <c r="O15" s="60"/>
    </row>
    <row r="16" ht="15.75" customHeight="1">
      <c r="L16" s="67"/>
      <c r="M16" s="22"/>
      <c r="N16" s="60"/>
      <c r="O16" s="60"/>
    </row>
    <row r="17" ht="15.75" customHeight="1"/>
    <row r="18" ht="15.75" customHeight="1">
      <c r="B18" s="70" t="s">
        <v>139</v>
      </c>
      <c r="C18" s="77"/>
      <c r="D18" s="71"/>
      <c r="E18" s="71"/>
      <c r="F18" s="71"/>
      <c r="G18" s="71" t="s">
        <v>135</v>
      </c>
    </row>
    <row r="19" ht="15.75" customHeight="1">
      <c r="C19" s="72" t="s">
        <v>140</v>
      </c>
      <c r="D19" s="62"/>
      <c r="E19" s="73">
        <v>223.0</v>
      </c>
      <c r="F19" s="73">
        <v>185.0</v>
      </c>
      <c r="G19" s="73">
        <f>F19*E19</f>
        <v>41255</v>
      </c>
      <c r="J19" s="22"/>
    </row>
    <row r="20" ht="15.75" customHeight="1"/>
    <row r="21" ht="15.75" customHeight="1"/>
    <row r="22" ht="15.75" customHeight="1"/>
    <row r="23" ht="15.75" customHeight="1">
      <c r="I23" s="22"/>
    </row>
    <row r="24" ht="15.75" customHeight="1">
      <c r="B24" s="78" t="s">
        <v>141</v>
      </c>
      <c r="C24" s="62"/>
      <c r="D24" s="62"/>
      <c r="E24" s="62"/>
      <c r="F24" s="62"/>
      <c r="G24" s="62"/>
      <c r="I24" s="79" t="s">
        <v>142</v>
      </c>
    </row>
    <row r="25" ht="15.75" customHeight="1"/>
    <row r="26" ht="15.75" customHeight="1">
      <c r="C26" s="22" t="s">
        <v>143</v>
      </c>
    </row>
    <row r="27" ht="15.75" customHeight="1">
      <c r="B27" s="80" t="s">
        <v>135</v>
      </c>
      <c r="C27" s="80"/>
      <c r="D27" s="80"/>
      <c r="E27" s="80"/>
      <c r="F27" s="80"/>
      <c r="G27" s="81">
        <v>13000.0</v>
      </c>
    </row>
    <row r="28" ht="15.75" customHeight="1">
      <c r="C28" s="67"/>
      <c r="E28" s="2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6.0"/>
    <col customWidth="1" min="2" max="2" width="21.29"/>
    <col customWidth="1" min="3" max="3" width="9.86"/>
  </cols>
  <sheetData>
    <row r="1">
      <c r="A1" s="82" t="s">
        <v>144</v>
      </c>
      <c r="F1" s="22"/>
    </row>
    <row r="2">
      <c r="A2" s="22" t="s">
        <v>145</v>
      </c>
    </row>
    <row r="3">
      <c r="F3" s="22"/>
    </row>
    <row r="4">
      <c r="A4" s="62" t="s">
        <v>146</v>
      </c>
      <c r="F4" s="22"/>
    </row>
    <row r="5">
      <c r="A5" s="22" t="s">
        <v>147</v>
      </c>
      <c r="C5" s="22" t="s">
        <v>148</v>
      </c>
      <c r="F5" s="22"/>
    </row>
    <row r="6">
      <c r="A6" s="22" t="s">
        <v>149</v>
      </c>
      <c r="F6" s="22"/>
    </row>
    <row r="7">
      <c r="A7" s="22" t="s">
        <v>150</v>
      </c>
      <c r="C7" s="83"/>
      <c r="F7" s="22"/>
    </row>
    <row r="8">
      <c r="A8" s="22" t="s">
        <v>151</v>
      </c>
      <c r="F8" s="22"/>
    </row>
    <row r="9">
      <c r="A9" s="22" t="s">
        <v>152</v>
      </c>
      <c r="F9" s="22"/>
    </row>
    <row r="10">
      <c r="A10" s="22" t="s">
        <v>153</v>
      </c>
      <c r="F10" s="22"/>
    </row>
    <row r="11">
      <c r="A11" s="22"/>
      <c r="F11" s="22"/>
    </row>
    <row r="12">
      <c r="A12" s="62">
        <v>40000.0</v>
      </c>
      <c r="F12" s="22"/>
    </row>
    <row r="13">
      <c r="A13" s="22" t="s">
        <v>154</v>
      </c>
      <c r="F13" s="22"/>
    </row>
    <row r="14">
      <c r="B14" s="22"/>
      <c r="F14" s="22"/>
    </row>
    <row r="15">
      <c r="A15" s="84" t="s">
        <v>155</v>
      </c>
    </row>
    <row r="16">
      <c r="A16" s="85"/>
      <c r="B16" s="85"/>
      <c r="C16" s="85"/>
      <c r="D16" s="85"/>
      <c r="E16" s="85"/>
      <c r="F16" s="85" t="s">
        <v>156</v>
      </c>
      <c r="G16" s="85"/>
      <c r="H16" s="85"/>
      <c r="I16" s="85"/>
    </row>
    <row r="17">
      <c r="A17" s="86" t="s">
        <v>157</v>
      </c>
      <c r="B17" s="87"/>
      <c r="C17" s="87"/>
      <c r="D17" s="87"/>
      <c r="F17" s="88" t="s">
        <v>158</v>
      </c>
      <c r="G17" s="89" t="s">
        <v>159</v>
      </c>
      <c r="H17" s="90" t="s">
        <v>114</v>
      </c>
      <c r="I17" s="85"/>
    </row>
    <row r="18">
      <c r="A18" s="85"/>
      <c r="B18" s="85"/>
      <c r="C18" s="85"/>
      <c r="D18" s="85"/>
      <c r="E18" s="85"/>
      <c r="F18" s="91">
        <v>200.0</v>
      </c>
      <c r="G18" s="92">
        <v>140.0</v>
      </c>
      <c r="H18" s="92">
        <f>F18*G18</f>
        <v>28000</v>
      </c>
      <c r="I18" s="93"/>
    </row>
    <row r="19">
      <c r="A19" s="85" t="s">
        <v>160</v>
      </c>
      <c r="B19" s="94"/>
      <c r="C19" s="85"/>
      <c r="D19" s="95">
        <f>(H18)/4</f>
        <v>7000</v>
      </c>
      <c r="E19" s="85"/>
      <c r="F19" s="96"/>
      <c r="G19" s="96"/>
      <c r="H19" s="96"/>
      <c r="I19" s="85"/>
    </row>
    <row r="20">
      <c r="A20" s="85" t="s">
        <v>161</v>
      </c>
      <c r="B20" s="97"/>
      <c r="C20" s="85"/>
      <c r="D20" s="95">
        <v>60000.0</v>
      </c>
      <c r="E20" s="85"/>
      <c r="F20" s="98"/>
      <c r="G20" s="85"/>
      <c r="H20" s="85"/>
      <c r="I20" s="85"/>
    </row>
    <row r="21">
      <c r="A21" s="85" t="s">
        <v>162</v>
      </c>
      <c r="B21" s="97"/>
      <c r="C21" s="85"/>
      <c r="D21" s="95">
        <v>10000.0</v>
      </c>
      <c r="E21" s="85"/>
      <c r="F21" s="85"/>
      <c r="G21" s="85"/>
      <c r="H21" s="85"/>
      <c r="I21" s="95"/>
    </row>
    <row r="22">
      <c r="A22" s="85" t="s">
        <v>163</v>
      </c>
      <c r="B22" s="85"/>
      <c r="C22" s="85"/>
      <c r="D22" s="95">
        <v>40000.0</v>
      </c>
      <c r="E22" s="85"/>
      <c r="F22" s="85"/>
      <c r="G22" s="85"/>
      <c r="H22" s="85"/>
      <c r="I22" s="95"/>
    </row>
    <row r="23">
      <c r="A23" s="85" t="s">
        <v>164</v>
      </c>
      <c r="B23" s="85"/>
      <c r="C23" s="85"/>
      <c r="D23" s="95">
        <v>50000.0</v>
      </c>
      <c r="E23" s="85"/>
      <c r="F23" s="85"/>
      <c r="G23" s="85"/>
      <c r="H23" s="85"/>
      <c r="I23" s="95"/>
    </row>
    <row r="24">
      <c r="A24" s="99" t="s">
        <v>165</v>
      </c>
      <c r="B24" s="99"/>
      <c r="C24" s="99"/>
      <c r="D24" s="100">
        <f>SUM(D18:D23)</f>
        <v>167000</v>
      </c>
      <c r="E24" s="85"/>
      <c r="F24" s="85"/>
      <c r="G24" s="85"/>
      <c r="H24" s="85"/>
      <c r="I24" s="95"/>
    </row>
    <row r="25">
      <c r="A25" s="85"/>
      <c r="B25" s="85"/>
      <c r="C25" s="85"/>
      <c r="D25" s="85"/>
      <c r="E25" s="85"/>
      <c r="F25" s="85"/>
      <c r="G25" s="85"/>
      <c r="H25" s="85"/>
      <c r="I25" s="95"/>
    </row>
    <row r="26">
      <c r="A26" s="86" t="s">
        <v>166</v>
      </c>
      <c r="B26" s="87"/>
      <c r="C26" s="87"/>
      <c r="D26" s="87"/>
      <c r="E26" s="85"/>
      <c r="F26" s="85"/>
      <c r="G26" s="85"/>
      <c r="H26" s="85"/>
      <c r="I26" s="85"/>
      <c r="J26" s="85"/>
    </row>
    <row r="27">
      <c r="A27" s="85" t="s">
        <v>167</v>
      </c>
      <c r="B27" s="101"/>
      <c r="C27" s="85"/>
      <c r="D27" s="95">
        <v>12000.0</v>
      </c>
      <c r="E27" s="85"/>
      <c r="F27" s="85"/>
      <c r="G27" s="85"/>
      <c r="H27" s="85"/>
      <c r="I27" s="85"/>
      <c r="J27" s="85"/>
    </row>
    <row r="28">
      <c r="A28" s="85" t="s">
        <v>168</v>
      </c>
      <c r="B28" s="101"/>
      <c r="C28" s="85"/>
      <c r="D28" s="95">
        <v>25000.0</v>
      </c>
      <c r="E28" s="85"/>
      <c r="F28" s="85"/>
      <c r="G28" s="85"/>
      <c r="H28" s="85"/>
      <c r="I28" s="85"/>
      <c r="J28" s="85"/>
    </row>
    <row r="29">
      <c r="A29" s="85" t="s">
        <v>169</v>
      </c>
      <c r="B29" s="85"/>
      <c r="C29" s="85"/>
      <c r="D29" s="95">
        <v>20000.0</v>
      </c>
      <c r="E29" s="85"/>
      <c r="F29" s="85"/>
      <c r="G29" s="85"/>
      <c r="H29" s="85"/>
      <c r="I29" s="85"/>
      <c r="J29" s="85"/>
    </row>
    <row r="30">
      <c r="A30" s="85" t="s">
        <v>170</v>
      </c>
      <c r="B30" s="101"/>
      <c r="C30" s="85"/>
      <c r="D30" s="95">
        <v>5000.0</v>
      </c>
      <c r="E30" s="85"/>
      <c r="F30" s="85"/>
      <c r="G30" s="85"/>
      <c r="H30" s="85"/>
      <c r="I30" s="85"/>
      <c r="J30" s="85"/>
    </row>
    <row r="31">
      <c r="A31" s="85" t="s">
        <v>171</v>
      </c>
      <c r="B31" s="101"/>
      <c r="C31" s="85"/>
      <c r="D31" s="95">
        <v>30000.0</v>
      </c>
      <c r="E31" s="85"/>
      <c r="F31" s="85"/>
      <c r="G31" s="85"/>
      <c r="H31" s="85"/>
      <c r="I31" s="85"/>
      <c r="J31" s="85"/>
    </row>
    <row r="32">
      <c r="A32" s="85" t="s">
        <v>172</v>
      </c>
      <c r="B32" s="85"/>
      <c r="C32" s="85"/>
      <c r="D32" s="95">
        <v>25000.0</v>
      </c>
      <c r="E32" s="85"/>
      <c r="F32" s="85"/>
      <c r="G32" s="85"/>
      <c r="H32" s="85"/>
      <c r="I32" s="85"/>
      <c r="J32" s="85"/>
    </row>
    <row r="33">
      <c r="A33" s="85" t="s">
        <v>173</v>
      </c>
      <c r="B33" s="85"/>
      <c r="C33" s="85"/>
      <c r="D33" s="95">
        <v>50000.0</v>
      </c>
      <c r="E33" s="85"/>
      <c r="F33" s="85"/>
      <c r="G33" s="85"/>
      <c r="H33" s="85"/>
      <c r="I33" s="85"/>
      <c r="J33" s="85"/>
    </row>
    <row r="34">
      <c r="A34" s="99" t="s">
        <v>174</v>
      </c>
      <c r="B34" s="99"/>
      <c r="C34" s="99"/>
      <c r="D34" s="100">
        <f>SUM(D27:D33)</f>
        <v>167000</v>
      </c>
      <c r="E34" s="85"/>
      <c r="F34" s="85"/>
      <c r="G34" s="85"/>
      <c r="H34" s="85"/>
      <c r="I34" s="85"/>
      <c r="J34" s="85"/>
    </row>
    <row r="35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>
      <c r="A36" s="102" t="s">
        <v>175</v>
      </c>
      <c r="B36" s="102"/>
      <c r="C36" s="102"/>
      <c r="D36" s="103">
        <f>(D24-D34)</f>
        <v>0</v>
      </c>
      <c r="E36" s="85"/>
      <c r="F36" s="85"/>
      <c r="G36" s="85"/>
      <c r="H36" s="85"/>
      <c r="I36" s="85"/>
      <c r="J36" s="8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2.14"/>
    <col customWidth="1" min="3" max="3" width="12.57"/>
    <col customWidth="1" min="4" max="4" width="21.0"/>
    <col customWidth="1" min="5" max="5" width="18.0"/>
    <col customWidth="1" min="6" max="6" width="27.71"/>
    <col customWidth="1" min="7" max="7" width="19.0"/>
    <col customWidth="1" min="8" max="8" width="19.86"/>
    <col customWidth="1" min="9" max="9" width="13.57"/>
    <col customWidth="1" min="10" max="10" width="12.86"/>
    <col customWidth="1" min="12" max="12" width="22.57"/>
    <col customWidth="1" min="13" max="13" width="18.14"/>
    <col customWidth="1" min="14" max="14" width="17.57"/>
  </cols>
  <sheetData>
    <row r="1" ht="15.75" customHeight="1">
      <c r="A1" s="22">
        <v>2.0</v>
      </c>
    </row>
    <row r="2" ht="15.75" customHeight="1">
      <c r="B2" s="104" t="s">
        <v>176</v>
      </c>
      <c r="C2" s="73"/>
      <c r="D2" s="73"/>
      <c r="E2" s="73"/>
      <c r="F2" s="73"/>
      <c r="G2" s="73"/>
      <c r="H2" s="73"/>
      <c r="I2" s="73" t="s">
        <v>177</v>
      </c>
    </row>
    <row r="3" ht="27.75" customHeight="1">
      <c r="B3" s="105" t="s">
        <v>178</v>
      </c>
      <c r="C3" s="105" t="s">
        <v>179</v>
      </c>
      <c r="D3" s="105" t="s">
        <v>180</v>
      </c>
      <c r="E3" s="105" t="s">
        <v>181</v>
      </c>
      <c r="F3" s="105" t="s">
        <v>182</v>
      </c>
      <c r="G3" s="105" t="s">
        <v>183</v>
      </c>
      <c r="H3" s="105" t="s">
        <v>184</v>
      </c>
      <c r="I3" s="22" t="s">
        <v>185</v>
      </c>
      <c r="J3" s="106" t="s">
        <v>186</v>
      </c>
    </row>
    <row r="4" ht="15.75" customHeight="1">
      <c r="B4" s="60" t="s">
        <v>187</v>
      </c>
      <c r="C4" s="60">
        <v>1.0</v>
      </c>
      <c r="D4" s="60">
        <f>M6*(1+feriepengesats)*M12</f>
        <v>2464</v>
      </c>
      <c r="E4" s="60">
        <f t="shared" ref="E4:E8" si="1">D4*2*C4</f>
        <v>4928</v>
      </c>
      <c r="F4" s="60">
        <v>12.0</v>
      </c>
      <c r="G4" s="60">
        <v>0.0</v>
      </c>
      <c r="H4" s="60">
        <f>(E15*F4+G4*F15)*C4</f>
        <v>14400</v>
      </c>
      <c r="I4" s="22">
        <f t="shared" ref="I4:I10" si="2">H4*0.9825</f>
        <v>14148</v>
      </c>
      <c r="J4" s="107">
        <f t="shared" ref="J4:J10" si="3">I4-E4</f>
        <v>9220</v>
      </c>
      <c r="L4" s="108" t="s">
        <v>188</v>
      </c>
      <c r="M4" s="108"/>
      <c r="N4" s="108"/>
    </row>
    <row r="5" ht="15.75" customHeight="1">
      <c r="B5" s="60" t="s">
        <v>189</v>
      </c>
      <c r="C5" s="60">
        <v>2.0</v>
      </c>
      <c r="D5" s="60">
        <f>210*(1+feriepengesats)*M13</f>
        <v>3057.6</v>
      </c>
      <c r="E5" s="60">
        <f t="shared" si="1"/>
        <v>12230.4</v>
      </c>
      <c r="F5" s="60">
        <v>7.0</v>
      </c>
      <c r="G5" s="60">
        <v>3.0</v>
      </c>
      <c r="H5" s="60">
        <f>(G16*F5+H16*G5)*C5</f>
        <v>37000</v>
      </c>
      <c r="I5" s="22">
        <f t="shared" si="2"/>
        <v>36352.5</v>
      </c>
      <c r="J5" s="107">
        <f t="shared" si="3"/>
        <v>24122.1</v>
      </c>
      <c r="L5" s="109" t="s">
        <v>178</v>
      </c>
      <c r="M5" s="110" t="s">
        <v>190</v>
      </c>
      <c r="N5" s="111" t="s">
        <v>191</v>
      </c>
    </row>
    <row r="6" ht="15.75" customHeight="1">
      <c r="B6" s="112" t="s">
        <v>192</v>
      </c>
      <c r="C6" s="60">
        <v>0.5</v>
      </c>
      <c r="D6" s="112">
        <f>M8*(1+feriepengesats)*M14</f>
        <v>3449.6</v>
      </c>
      <c r="E6" s="60">
        <f t="shared" si="1"/>
        <v>3449.6</v>
      </c>
      <c r="F6" s="112">
        <v>7.0</v>
      </c>
      <c r="G6" s="112">
        <v>1.0</v>
      </c>
      <c r="H6" s="112">
        <f t="shared" ref="H6:H7" si="4">(F6*G17*C6)+(C6*G6*H17)</f>
        <v>11900</v>
      </c>
      <c r="I6" s="22">
        <f t="shared" si="2"/>
        <v>11691.75</v>
      </c>
      <c r="J6" s="107">
        <f t="shared" si="3"/>
        <v>8242.15</v>
      </c>
      <c r="L6" s="113" t="s">
        <v>193</v>
      </c>
      <c r="M6" s="114">
        <v>200.0</v>
      </c>
      <c r="N6" s="115"/>
    </row>
    <row r="7" ht="15.75" customHeight="1">
      <c r="B7" s="22" t="s">
        <v>194</v>
      </c>
      <c r="C7" s="60">
        <v>0.5</v>
      </c>
      <c r="D7" s="60">
        <f>M8*(1+feriepengesats)*M15</f>
        <v>4188.8</v>
      </c>
      <c r="E7" s="60">
        <f t="shared" si="1"/>
        <v>4188.8</v>
      </c>
      <c r="F7" s="22">
        <v>7.0</v>
      </c>
      <c r="G7" s="22">
        <v>1.0</v>
      </c>
      <c r="H7" s="112">
        <f t="shared" si="4"/>
        <v>12850</v>
      </c>
      <c r="I7" s="22">
        <f t="shared" si="2"/>
        <v>12625.125</v>
      </c>
      <c r="J7" s="107">
        <f t="shared" si="3"/>
        <v>8436.325</v>
      </c>
      <c r="L7" s="113" t="s">
        <v>189</v>
      </c>
      <c r="M7" s="116">
        <v>220.0</v>
      </c>
      <c r="N7" s="117">
        <v>200.0</v>
      </c>
      <c r="O7" s="118" t="s">
        <v>195</v>
      </c>
      <c r="P7" s="118"/>
      <c r="Q7" s="118"/>
    </row>
    <row r="8" ht="15.75" customHeight="1">
      <c r="B8" s="112" t="s">
        <v>196</v>
      </c>
      <c r="C8" s="60">
        <v>1.0</v>
      </c>
      <c r="D8" s="112">
        <f>210*(1+feriepengesats)*M16</f>
        <v>4233.6</v>
      </c>
      <c r="E8" s="60">
        <f t="shared" si="1"/>
        <v>8467.2</v>
      </c>
      <c r="F8" s="112"/>
      <c r="G8" s="112">
        <v>9.0</v>
      </c>
      <c r="H8" s="112">
        <f>(G19*F8+G8*H19)*C8</f>
        <v>21600</v>
      </c>
      <c r="I8" s="22">
        <f t="shared" si="2"/>
        <v>21222</v>
      </c>
      <c r="J8" s="107">
        <f t="shared" si="3"/>
        <v>12754.8</v>
      </c>
      <c r="L8" s="113" t="s">
        <v>197</v>
      </c>
      <c r="M8" s="116">
        <v>220.0</v>
      </c>
      <c r="N8" s="111">
        <v>220.0</v>
      </c>
    </row>
    <row r="9" ht="15.75" customHeight="1">
      <c r="B9" s="60" t="s">
        <v>198</v>
      </c>
      <c r="C9" s="60">
        <v>0.0</v>
      </c>
      <c r="D9" s="60">
        <f>M6*(1+feriepengesats)*N12</f>
        <v>560</v>
      </c>
      <c r="E9" s="60">
        <f>D9*C9</f>
        <v>0</v>
      </c>
      <c r="F9" s="60">
        <v>5.0</v>
      </c>
      <c r="G9" s="60"/>
      <c r="H9" s="60">
        <f>(F9*G20)*C9</f>
        <v>0</v>
      </c>
      <c r="I9" s="22">
        <f t="shared" si="2"/>
        <v>0</v>
      </c>
      <c r="J9" s="107">
        <f t="shared" si="3"/>
        <v>0</v>
      </c>
      <c r="L9" s="119" t="s">
        <v>199</v>
      </c>
      <c r="M9" s="120">
        <v>220.0</v>
      </c>
      <c r="N9" s="121">
        <v>200.0</v>
      </c>
    </row>
    <row r="10" ht="15.75" customHeight="1">
      <c r="B10" s="22" t="s">
        <v>200</v>
      </c>
      <c r="C10" s="60">
        <v>1.0</v>
      </c>
      <c r="D10" s="112">
        <f>M9*(1+feriepengesats)*M17</f>
        <v>2956.8</v>
      </c>
      <c r="E10" s="60">
        <f>D10*2*C10</f>
        <v>5913.6</v>
      </c>
      <c r="F10" s="22">
        <v>7.0</v>
      </c>
      <c r="H10" s="22">
        <f>F10*G21</f>
        <v>14000</v>
      </c>
      <c r="I10" s="62">
        <f t="shared" si="2"/>
        <v>13755</v>
      </c>
      <c r="J10" s="107">
        <f t="shared" si="3"/>
        <v>7841.4</v>
      </c>
      <c r="L10" s="122"/>
      <c r="M10" s="114"/>
      <c r="N10" s="122"/>
    </row>
    <row r="11" ht="15.75" customHeight="1">
      <c r="B11" s="123" t="s">
        <v>135</v>
      </c>
      <c r="C11" s="123"/>
      <c r="D11" s="123"/>
      <c r="E11" s="123">
        <f>SUM(E4:E10)</f>
        <v>39177.6</v>
      </c>
      <c r="F11" s="123"/>
      <c r="G11" s="123"/>
      <c r="H11" s="123">
        <f t="shared" ref="H11:I11" si="5">SUM(H4:H10)</f>
        <v>111750</v>
      </c>
      <c r="I11" s="124">
        <f t="shared" si="5"/>
        <v>109794.375</v>
      </c>
      <c r="J11" s="125">
        <f>SUM(J4:J8)</f>
        <v>62775.375</v>
      </c>
      <c r="L11" s="126" t="s">
        <v>178</v>
      </c>
      <c r="M11" s="127" t="s">
        <v>201</v>
      </c>
      <c r="N11" s="52"/>
    </row>
    <row r="12" ht="15.75" customHeight="1">
      <c r="L12" s="113" t="s">
        <v>193</v>
      </c>
      <c r="M12" s="127">
        <v>11.0</v>
      </c>
      <c r="N12" s="52">
        <v>2.5</v>
      </c>
    </row>
    <row r="13" ht="15.75" customHeight="1">
      <c r="B13" s="128" t="s">
        <v>202</v>
      </c>
      <c r="L13" s="113" t="s">
        <v>189</v>
      </c>
      <c r="M13" s="22">
        <v>13.0</v>
      </c>
      <c r="N13" s="129"/>
    </row>
    <row r="14" ht="33.75" customHeight="1">
      <c r="B14" s="130" t="s">
        <v>178</v>
      </c>
      <c r="C14" s="131" t="s">
        <v>203</v>
      </c>
      <c r="D14" s="131" t="s">
        <v>204</v>
      </c>
      <c r="E14" s="131" t="s">
        <v>205</v>
      </c>
      <c r="F14" s="131" t="s">
        <v>206</v>
      </c>
      <c r="G14" s="131" t="s">
        <v>207</v>
      </c>
      <c r="H14" s="131" t="s">
        <v>208</v>
      </c>
      <c r="I14" s="131" t="s">
        <v>209</v>
      </c>
      <c r="L14" s="113" t="s">
        <v>210</v>
      </c>
      <c r="M14" s="22">
        <v>14.0</v>
      </c>
      <c r="N14" s="129"/>
    </row>
    <row r="15" ht="15.75" customHeight="1">
      <c r="B15" s="60" t="s">
        <v>187</v>
      </c>
      <c r="C15" s="60">
        <v>1100.0</v>
      </c>
      <c r="D15" s="60">
        <v>1500.0</v>
      </c>
      <c r="E15" s="60">
        <v>1200.0</v>
      </c>
      <c r="F15" s="60">
        <v>1600.0</v>
      </c>
      <c r="L15" s="132" t="s">
        <v>211</v>
      </c>
      <c r="M15" s="22">
        <v>17.0</v>
      </c>
      <c r="N15" s="129"/>
    </row>
    <row r="16" ht="15.75" customHeight="1">
      <c r="B16" s="60" t="s">
        <v>189</v>
      </c>
      <c r="G16" s="60">
        <v>1700.0</v>
      </c>
      <c r="H16" s="60">
        <v>2200.0</v>
      </c>
      <c r="I16" s="60"/>
      <c r="L16" s="113" t="s">
        <v>199</v>
      </c>
      <c r="M16" s="22">
        <v>18.0</v>
      </c>
      <c r="N16" s="129">
        <v>16.0</v>
      </c>
    </row>
    <row r="17" ht="15.75" customHeight="1">
      <c r="B17" s="60" t="s">
        <v>192</v>
      </c>
      <c r="D17" s="22"/>
      <c r="E17" s="22"/>
      <c r="G17" s="60">
        <v>2900.0</v>
      </c>
      <c r="H17" s="60">
        <v>3500.0</v>
      </c>
      <c r="I17" s="22" t="s">
        <v>212</v>
      </c>
      <c r="L17" s="133" t="s">
        <v>200</v>
      </c>
      <c r="M17" s="62">
        <v>12.0</v>
      </c>
      <c r="N17" s="134"/>
    </row>
    <row r="18" ht="15.75" customHeight="1">
      <c r="B18" s="22" t="s">
        <v>194</v>
      </c>
      <c r="F18" s="22"/>
      <c r="G18" s="22">
        <v>3100.0</v>
      </c>
      <c r="H18" s="22">
        <v>4000.0</v>
      </c>
      <c r="I18" s="22" t="s">
        <v>212</v>
      </c>
    </row>
    <row r="19" ht="15.75" customHeight="1">
      <c r="B19" s="60" t="s">
        <v>196</v>
      </c>
      <c r="G19" s="60">
        <v>2400.0</v>
      </c>
      <c r="H19" s="60">
        <v>2400.0</v>
      </c>
    </row>
    <row r="20" ht="15.75" customHeight="1">
      <c r="B20" s="60" t="s">
        <v>198</v>
      </c>
      <c r="G20" s="22">
        <v>400.0</v>
      </c>
      <c r="H20" s="22">
        <v>400.0</v>
      </c>
      <c r="I20" s="22"/>
    </row>
    <row r="21" ht="15.75" customHeight="1">
      <c r="B21" s="22" t="s">
        <v>200</v>
      </c>
      <c r="G21" s="22">
        <v>2000.0</v>
      </c>
      <c r="H21" s="22">
        <v>3000.0</v>
      </c>
    </row>
    <row r="22" ht="15.75" customHeight="1">
      <c r="B22" s="76"/>
      <c r="C22" s="60"/>
      <c r="D22" s="60"/>
      <c r="E22" s="60"/>
      <c r="F22" s="60"/>
      <c r="G22" s="60"/>
      <c r="H22" s="60"/>
      <c r="I22" s="60"/>
    </row>
    <row r="23" ht="15.75" customHeight="1">
      <c r="B23" s="60"/>
      <c r="E23" s="22"/>
      <c r="F23" s="22"/>
      <c r="G23" s="22"/>
      <c r="H23" s="22"/>
      <c r="I23" s="69"/>
    </row>
    <row r="24" ht="15.75" customHeight="1">
      <c r="B24" s="135" t="s">
        <v>129</v>
      </c>
      <c r="C24" s="127"/>
      <c r="D24" s="127"/>
      <c r="E24" s="127"/>
      <c r="F24" s="127"/>
      <c r="G24" s="52"/>
      <c r="I24" s="136" t="s">
        <v>213</v>
      </c>
      <c r="J24" s="136"/>
      <c r="K24" s="136"/>
      <c r="L24" s="136"/>
      <c r="M24" s="22"/>
    </row>
    <row r="25" ht="15.75" customHeight="1">
      <c r="B25" s="132"/>
      <c r="C25" s="85"/>
      <c r="D25" s="85"/>
      <c r="E25" s="85"/>
      <c r="F25" s="85"/>
      <c r="G25" s="137"/>
      <c r="I25" s="138" t="s">
        <v>214</v>
      </c>
      <c r="J25" s="138" t="s">
        <v>159</v>
      </c>
      <c r="K25" s="138" t="s">
        <v>215</v>
      </c>
      <c r="L25" s="138" t="s">
        <v>114</v>
      </c>
      <c r="M25" s="22"/>
    </row>
    <row r="26" ht="15.75" customHeight="1">
      <c r="B26" s="93" t="s">
        <v>216</v>
      </c>
      <c r="C26" s="85"/>
      <c r="D26" s="85"/>
      <c r="E26" s="85"/>
      <c r="F26" s="85"/>
      <c r="G26" s="137"/>
      <c r="I26" s="22"/>
      <c r="J26" s="22"/>
      <c r="K26" s="22"/>
      <c r="L26" s="22"/>
    </row>
    <row r="27" ht="15.75" customHeight="1">
      <c r="B27" s="139" t="s">
        <v>217</v>
      </c>
      <c r="C27" s="85"/>
      <c r="D27" s="85"/>
      <c r="E27" s="85"/>
      <c r="F27" s="140" t="s">
        <v>218</v>
      </c>
      <c r="G27" s="141"/>
      <c r="I27" s="22" t="s">
        <v>219</v>
      </c>
      <c r="J27" s="22">
        <v>3.0</v>
      </c>
      <c r="K27" s="22">
        <v>2500.0</v>
      </c>
      <c r="L27" s="22">
        <v>7500.0</v>
      </c>
    </row>
    <row r="28" ht="15.75" customHeight="1">
      <c r="B28" s="93" t="s">
        <v>220</v>
      </c>
      <c r="C28" s="142">
        <v>50000.0</v>
      </c>
      <c r="E28" s="85"/>
      <c r="F28" s="93" t="s">
        <v>221</v>
      </c>
      <c r="G28" s="143">
        <v>220.0</v>
      </c>
      <c r="I28" s="22" t="s">
        <v>222</v>
      </c>
      <c r="J28" s="22">
        <v>2.0</v>
      </c>
      <c r="K28" s="22">
        <v>1250.0</v>
      </c>
      <c r="L28" s="22">
        <v>1500.0</v>
      </c>
    </row>
    <row r="29" ht="15.75" customHeight="1">
      <c r="B29" s="93"/>
      <c r="C29" s="85"/>
      <c r="E29" s="85"/>
      <c r="F29" s="144" t="s">
        <v>223</v>
      </c>
      <c r="G29" s="143">
        <f>G28*1.14</f>
        <v>250.8</v>
      </c>
      <c r="I29" s="127" t="s">
        <v>135</v>
      </c>
      <c r="J29" s="127"/>
      <c r="K29" s="127"/>
      <c r="L29" s="127">
        <f>SUM(L26:L28)</f>
        <v>9000</v>
      </c>
    </row>
    <row r="30" ht="15.75" customHeight="1">
      <c r="B30" s="145" t="s">
        <v>224</v>
      </c>
      <c r="C30" s="146">
        <f>SUM(C28:C29)</f>
        <v>50000</v>
      </c>
      <c r="D30" s="85"/>
      <c r="F30" s="93" t="s">
        <v>225</v>
      </c>
      <c r="G30" s="147">
        <v>2.0</v>
      </c>
      <c r="I30" s="148"/>
      <c r="J30" s="148"/>
      <c r="K30" s="148"/>
      <c r="L30" s="148"/>
    </row>
    <row r="31" ht="15.75" customHeight="1">
      <c r="B31" s="93"/>
      <c r="C31" s="85"/>
      <c r="D31" s="85"/>
      <c r="F31" s="149" t="s">
        <v>226</v>
      </c>
      <c r="G31" s="147">
        <v>25.0</v>
      </c>
      <c r="I31" s="22" t="s">
        <v>227</v>
      </c>
    </row>
    <row r="32" ht="15.75" customHeight="1">
      <c r="B32" s="139" t="s">
        <v>228</v>
      </c>
      <c r="C32" s="85"/>
      <c r="D32" s="85"/>
      <c r="F32" s="93"/>
      <c r="G32" s="150"/>
    </row>
    <row r="33" ht="15.75" customHeight="1">
      <c r="B33" s="93" t="s">
        <v>229</v>
      </c>
      <c r="C33" s="142">
        <v>9500.0</v>
      </c>
      <c r="D33" s="85"/>
      <c r="F33" s="151" t="s">
        <v>230</v>
      </c>
      <c r="G33" s="152">
        <f>G29*(G30*G31)</f>
        <v>12540</v>
      </c>
    </row>
    <row r="34" ht="15.75" customHeight="1">
      <c r="B34" s="93" t="s">
        <v>231</v>
      </c>
      <c r="C34" s="142">
        <f>G40</f>
        <v>28000</v>
      </c>
      <c r="D34" s="85"/>
      <c r="F34" s="85"/>
      <c r="G34" s="137"/>
    </row>
    <row r="35" ht="15.75" customHeight="1">
      <c r="B35" s="93" t="s">
        <v>232</v>
      </c>
      <c r="C35" s="142">
        <f>G33</f>
        <v>12540</v>
      </c>
      <c r="D35" s="85"/>
      <c r="E35" s="140" t="s">
        <v>233</v>
      </c>
      <c r="F35" s="96"/>
      <c r="G35" s="153"/>
    </row>
    <row r="36" ht="15.75" customHeight="1">
      <c r="B36" s="93"/>
      <c r="C36" s="85"/>
      <c r="E36" s="149" t="s">
        <v>234</v>
      </c>
      <c r="F36" s="85"/>
      <c r="G36" s="143">
        <v>800.0</v>
      </c>
    </row>
    <row r="37" ht="15.75" customHeight="1">
      <c r="B37" s="154" t="s">
        <v>235</v>
      </c>
      <c r="C37" s="155">
        <f>SUM(C33:C36)</f>
        <v>50040</v>
      </c>
      <c r="E37" s="93"/>
      <c r="F37" s="85" t="s">
        <v>236</v>
      </c>
      <c r="G37" s="156">
        <v>15.0</v>
      </c>
    </row>
    <row r="38" ht="15.75" customHeight="1">
      <c r="B38" s="93"/>
      <c r="C38" s="85"/>
      <c r="E38" s="93" t="s">
        <v>237</v>
      </c>
      <c r="F38" s="85" t="s">
        <v>238</v>
      </c>
      <c r="G38" s="147">
        <v>20.0</v>
      </c>
    </row>
    <row r="39" ht="15.75" customHeight="1">
      <c r="B39" s="93"/>
      <c r="C39" s="85"/>
      <c r="E39" s="93"/>
      <c r="F39" s="85"/>
      <c r="G39" s="137"/>
    </row>
    <row r="40" ht="15.75" customHeight="1">
      <c r="B40" s="157" t="s">
        <v>239</v>
      </c>
      <c r="C40" s="158">
        <f>C30-C37</f>
        <v>-40</v>
      </c>
      <c r="E40" s="151"/>
      <c r="F40" s="159" t="s">
        <v>240</v>
      </c>
      <c r="G40" s="160">
        <f>(G36*G37)+(G36*G38)</f>
        <v>28000</v>
      </c>
    </row>
    <row r="41" ht="15.75" customHeight="1">
      <c r="B41" s="133"/>
      <c r="C41" s="62"/>
      <c r="D41" s="62"/>
      <c r="E41" s="62"/>
      <c r="F41" s="62"/>
      <c r="G41" s="134"/>
    </row>
    <row r="42" ht="15.75" customHeight="1">
      <c r="H42" s="22"/>
      <c r="I42" s="22"/>
    </row>
    <row r="43" ht="15.75" customHeight="1">
      <c r="B43" s="161" t="s">
        <v>241</v>
      </c>
      <c r="C43" s="162"/>
      <c r="H43" s="85"/>
      <c r="I43" s="22"/>
    </row>
    <row r="44" ht="15.75" customHeight="1">
      <c r="B44" s="161" t="s">
        <v>242</v>
      </c>
      <c r="C44" s="162">
        <f>E11*Treningsbudsjett!F23+C35*Treningsbudsjett!F23</f>
        <v>46176.42857</v>
      </c>
      <c r="H44" s="85"/>
      <c r="I44" s="22"/>
    </row>
    <row r="45" ht="15.75" customHeight="1">
      <c r="B45" s="161" t="s">
        <v>243</v>
      </c>
      <c r="C45" s="162">
        <f>E11*(1-Treningsbudsjett!F23)+C35*(1-Treningsbudsjett!F23)</f>
        <v>5541.171429</v>
      </c>
      <c r="I45" s="22"/>
    </row>
    <row r="46" ht="15.75" customHeight="1">
      <c r="B46" s="9" t="s">
        <v>244</v>
      </c>
      <c r="C46" s="163">
        <f>C44+C45-C35-E11</f>
        <v>0</v>
      </c>
      <c r="I46" s="22"/>
    </row>
    <row r="47" ht="15.75" customHeight="1">
      <c r="I47" s="22"/>
    </row>
    <row r="48" ht="15.75" customHeight="1">
      <c r="I48" s="22"/>
    </row>
    <row r="49" ht="41.25" customHeight="1">
      <c r="I49" s="22"/>
    </row>
    <row r="50" ht="15.75" customHeight="1">
      <c r="I50" s="22"/>
    </row>
    <row r="51" ht="15.75" customHeight="1">
      <c r="I51" s="22"/>
    </row>
    <row r="52" ht="15.75" customHeight="1">
      <c r="H52" s="85"/>
      <c r="I52" s="22"/>
    </row>
    <row r="53" ht="15.75" customHeight="1">
      <c r="I53" s="22"/>
    </row>
    <row r="54" ht="15.75" customHeight="1">
      <c r="I54" s="22"/>
    </row>
    <row r="55" ht="15.75" customHeight="1">
      <c r="I55" s="22"/>
    </row>
    <row r="56" ht="21.0" customHeight="1">
      <c r="I56" s="22"/>
    </row>
    <row r="57" ht="15.75" customHeight="1">
      <c r="I57" s="22"/>
    </row>
    <row r="58" ht="15.75" customHeight="1">
      <c r="I58" s="22"/>
    </row>
    <row r="59" ht="15.75" customHeight="1">
      <c r="H59" s="22"/>
      <c r="I59" s="22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27.71"/>
    <col customWidth="1" min="3" max="3" width="10.86"/>
    <col customWidth="1" min="4" max="4" width="12.0"/>
    <col customWidth="1" min="5" max="6" width="10.43"/>
    <col customWidth="1" min="8" max="8" width="9.14"/>
    <col customWidth="1" min="9" max="9" width="19.71"/>
    <col customWidth="1" min="10" max="10" width="11.71"/>
    <col customWidth="1" min="11" max="11" width="20.43"/>
    <col customWidth="1" min="12" max="13" width="9.0"/>
    <col customWidth="1" min="14" max="14" width="2.29"/>
    <col customWidth="1" min="15" max="15" width="5.14"/>
    <col customWidth="1" min="16" max="16" width="19.57"/>
    <col customWidth="1" min="17" max="17" width="10.57"/>
    <col customWidth="1" min="18" max="18" width="3.43"/>
    <col customWidth="1" min="20" max="20" width="16.43"/>
    <col customWidth="1" min="21" max="21" width="5.71"/>
  </cols>
  <sheetData>
    <row r="1" ht="15.75" customHeight="1">
      <c r="A1" s="164"/>
      <c r="B1" s="164"/>
      <c r="C1" s="164"/>
      <c r="D1" s="164"/>
      <c r="E1" s="164"/>
      <c r="F1" s="164"/>
      <c r="G1" s="165"/>
      <c r="H1" s="164"/>
      <c r="I1" s="164"/>
      <c r="J1" s="164"/>
      <c r="K1" s="164"/>
      <c r="L1" s="164"/>
      <c r="M1" s="164"/>
      <c r="N1" s="164"/>
      <c r="O1" s="164"/>
      <c r="P1" s="166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ht="29.25" customHeight="1">
      <c r="A2" s="164"/>
      <c r="B2" s="167" t="s">
        <v>245</v>
      </c>
      <c r="C2" s="168" t="s">
        <v>246</v>
      </c>
      <c r="D2" s="168" t="s">
        <v>247</v>
      </c>
      <c r="E2" s="168" t="s">
        <v>248</v>
      </c>
      <c r="F2" s="168" t="s">
        <v>249</v>
      </c>
      <c r="G2" s="169" t="s">
        <v>250</v>
      </c>
      <c r="H2" s="168" t="s">
        <v>251</v>
      </c>
      <c r="I2" s="168" t="s">
        <v>252</v>
      </c>
      <c r="J2" s="169" t="s">
        <v>253</v>
      </c>
      <c r="K2" s="168" t="s">
        <v>186</v>
      </c>
      <c r="L2" s="164" t="s">
        <v>254</v>
      </c>
      <c r="M2" s="164"/>
      <c r="N2" s="164"/>
      <c r="O2" s="164"/>
      <c r="P2" s="166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ht="15.75" customHeight="1">
      <c r="A3" s="164"/>
      <c r="B3" s="170" t="s">
        <v>255</v>
      </c>
      <c r="C3" s="171">
        <v>34.0</v>
      </c>
      <c r="D3" s="171">
        <v>2.0</v>
      </c>
      <c r="E3" s="171">
        <v>1.0</v>
      </c>
      <c r="F3" s="172"/>
      <c r="G3" s="173">
        <f t="shared" ref="G3:G8" si="1">(D3*C3*E3*$C$24)+(F3*D3*C3*$C$23)</f>
        <v>15232</v>
      </c>
      <c r="H3" s="171">
        <v>5.0</v>
      </c>
      <c r="I3" s="171">
        <f t="shared" ref="I3:I9" si="2">C27*2</f>
        <v>5600</v>
      </c>
      <c r="J3" s="173">
        <f t="shared" ref="J3:J10" si="3">H3*I3</f>
        <v>28000</v>
      </c>
      <c r="K3" s="174">
        <f t="shared" ref="K3:K8" si="4">-G3+J3</f>
        <v>12768</v>
      </c>
      <c r="L3" s="174">
        <f t="shared" ref="L3:L5" si="5">I3/(D3*C3)</f>
        <v>82.35294118</v>
      </c>
      <c r="M3" s="164"/>
      <c r="N3" s="164"/>
      <c r="O3" s="164"/>
      <c r="P3" s="166"/>
      <c r="R3" s="164"/>
      <c r="S3" s="164"/>
      <c r="T3" s="164"/>
      <c r="U3" s="164"/>
      <c r="V3" s="164"/>
      <c r="W3" s="164"/>
      <c r="X3" s="164"/>
      <c r="Y3" s="164"/>
      <c r="Z3" s="164"/>
    </row>
    <row r="4" ht="15.75" customHeight="1">
      <c r="A4" s="164"/>
      <c r="B4" s="170" t="s">
        <v>256</v>
      </c>
      <c r="C4" s="171">
        <v>34.0</v>
      </c>
      <c r="D4" s="175">
        <v>1.5</v>
      </c>
      <c r="E4" s="171">
        <v>3.0</v>
      </c>
      <c r="F4" s="171"/>
      <c r="G4" s="173">
        <f t="shared" si="1"/>
        <v>34272</v>
      </c>
      <c r="H4" s="171">
        <v>20.0</v>
      </c>
      <c r="I4" s="171">
        <f t="shared" si="2"/>
        <v>4600</v>
      </c>
      <c r="J4" s="173">
        <f t="shared" si="3"/>
        <v>92000</v>
      </c>
      <c r="K4" s="174">
        <f t="shared" si="4"/>
        <v>57728</v>
      </c>
      <c r="L4" s="174">
        <f t="shared" si="5"/>
        <v>90.19607843</v>
      </c>
      <c r="M4" s="164"/>
      <c r="N4" s="164"/>
      <c r="O4" s="164"/>
      <c r="P4" s="166"/>
      <c r="R4" s="164"/>
      <c r="S4" s="164"/>
      <c r="T4" s="164"/>
      <c r="U4" s="164"/>
      <c r="V4" s="164"/>
      <c r="W4" s="164"/>
      <c r="X4" s="164"/>
      <c r="Y4" s="164"/>
      <c r="Z4" s="164"/>
    </row>
    <row r="5" ht="15.75" customHeight="1">
      <c r="A5" s="164"/>
      <c r="B5" s="170" t="s">
        <v>257</v>
      </c>
      <c r="C5" s="171">
        <v>34.0</v>
      </c>
      <c r="D5" s="176">
        <v>1.25</v>
      </c>
      <c r="E5" s="171">
        <v>3.0</v>
      </c>
      <c r="F5" s="172"/>
      <c r="G5" s="177">
        <f t="shared" si="1"/>
        <v>28560</v>
      </c>
      <c r="H5" s="171">
        <v>15.0</v>
      </c>
      <c r="I5" s="171">
        <f t="shared" si="2"/>
        <v>3600</v>
      </c>
      <c r="J5" s="173">
        <f t="shared" si="3"/>
        <v>54000</v>
      </c>
      <c r="K5" s="174">
        <f t="shared" si="4"/>
        <v>25440</v>
      </c>
      <c r="L5" s="174">
        <f t="shared" si="5"/>
        <v>84.70588235</v>
      </c>
      <c r="M5" s="164"/>
      <c r="N5" s="164"/>
      <c r="O5" s="164"/>
      <c r="P5" s="178" t="s">
        <v>258</v>
      </c>
      <c r="Q5" s="179"/>
      <c r="R5" s="179"/>
      <c r="S5" s="127"/>
      <c r="T5" s="179"/>
      <c r="U5" s="179"/>
      <c r="V5" s="179"/>
      <c r="W5" s="180"/>
      <c r="X5" s="164"/>
      <c r="Y5" s="164"/>
      <c r="Z5" s="164"/>
    </row>
    <row r="6" ht="15.75" customHeight="1">
      <c r="A6" s="164"/>
      <c r="B6" s="181" t="s">
        <v>259</v>
      </c>
      <c r="C6" s="172">
        <v>36.0</v>
      </c>
      <c r="D6" s="172">
        <v>2.0</v>
      </c>
      <c r="E6" s="182">
        <v>2.0</v>
      </c>
      <c r="F6" s="172">
        <v>2.0</v>
      </c>
      <c r="G6" s="173">
        <f t="shared" si="1"/>
        <v>67737.6</v>
      </c>
      <c r="H6" s="171">
        <v>8.0</v>
      </c>
      <c r="I6" s="171">
        <f t="shared" si="2"/>
        <v>7400</v>
      </c>
      <c r="J6" s="173">
        <f t="shared" si="3"/>
        <v>59200</v>
      </c>
      <c r="K6" s="174">
        <f t="shared" si="4"/>
        <v>-8537.6</v>
      </c>
      <c r="L6" s="174">
        <f>I6/(4*C6)</f>
        <v>51.38888889</v>
      </c>
      <c r="M6" s="164"/>
      <c r="N6" s="164"/>
      <c r="O6" s="164"/>
      <c r="P6" s="183" t="s">
        <v>260</v>
      </c>
      <c r="Q6" s="184"/>
      <c r="R6" s="184"/>
      <c r="T6" s="184"/>
      <c r="U6" s="184"/>
      <c r="V6" s="184"/>
      <c r="W6" s="185"/>
      <c r="X6" s="164"/>
      <c r="Y6" s="164"/>
      <c r="Z6" s="164"/>
    </row>
    <row r="7" ht="15.75" customHeight="1">
      <c r="A7" s="164"/>
      <c r="B7" s="170" t="s">
        <v>261</v>
      </c>
      <c r="C7" s="172">
        <v>34.0</v>
      </c>
      <c r="D7" s="186">
        <v>1.25</v>
      </c>
      <c r="E7" s="172">
        <v>3.0</v>
      </c>
      <c r="F7" s="172"/>
      <c r="G7" s="177">
        <f t="shared" si="1"/>
        <v>28560</v>
      </c>
      <c r="H7" s="171">
        <v>24.0</v>
      </c>
      <c r="I7" s="171">
        <f t="shared" si="2"/>
        <v>3600</v>
      </c>
      <c r="J7" s="173">
        <f t="shared" si="3"/>
        <v>86400</v>
      </c>
      <c r="K7" s="174">
        <f t="shared" si="4"/>
        <v>57840</v>
      </c>
      <c r="L7" s="174">
        <f t="shared" ref="L7:L8" si="6">I7/(D7*C7)</f>
        <v>84.70588235</v>
      </c>
      <c r="M7" s="164"/>
      <c r="N7" s="164"/>
      <c r="O7" s="164"/>
      <c r="P7" s="183"/>
      <c r="Q7" s="184"/>
      <c r="R7" s="184"/>
      <c r="T7" s="184"/>
      <c r="U7" s="184"/>
      <c r="V7" s="184"/>
      <c r="W7" s="187"/>
      <c r="X7" s="184"/>
      <c r="Y7" s="164"/>
      <c r="Z7" s="164"/>
    </row>
    <row r="8" ht="15.75" customHeight="1">
      <c r="A8" s="164"/>
      <c r="B8" s="170" t="s">
        <v>262</v>
      </c>
      <c r="C8" s="172">
        <v>34.0</v>
      </c>
      <c r="D8" s="172">
        <v>1.5</v>
      </c>
      <c r="E8" s="172">
        <v>1.0</v>
      </c>
      <c r="F8" s="172"/>
      <c r="G8" s="173">
        <f t="shared" si="1"/>
        <v>11424</v>
      </c>
      <c r="H8" s="171">
        <v>9.0</v>
      </c>
      <c r="I8" s="171">
        <f t="shared" si="2"/>
        <v>2400</v>
      </c>
      <c r="J8" s="173">
        <f t="shared" si="3"/>
        <v>21600</v>
      </c>
      <c r="K8" s="174">
        <f t="shared" si="4"/>
        <v>10176</v>
      </c>
      <c r="L8" s="174">
        <f t="shared" si="6"/>
        <v>47.05882353</v>
      </c>
      <c r="M8" s="164"/>
      <c r="N8" s="164"/>
      <c r="O8" s="164"/>
      <c r="P8" s="188" t="s">
        <v>263</v>
      </c>
      <c r="Q8" s="189"/>
      <c r="R8" s="184"/>
      <c r="S8" s="188" t="s">
        <v>264</v>
      </c>
      <c r="T8" s="189"/>
      <c r="U8" s="184"/>
      <c r="V8" s="188" t="s">
        <v>265</v>
      </c>
      <c r="W8" s="189"/>
      <c r="X8" s="184"/>
      <c r="Y8" s="164"/>
      <c r="Z8" s="164"/>
    </row>
    <row r="9" ht="15.75" customHeight="1">
      <c r="A9" s="164"/>
      <c r="B9" s="190" t="s">
        <v>266</v>
      </c>
      <c r="C9" s="191"/>
      <c r="D9" s="191"/>
      <c r="E9" s="191"/>
      <c r="F9" s="191"/>
      <c r="G9" s="191"/>
      <c r="H9" s="192"/>
      <c r="I9" s="192">
        <f t="shared" si="2"/>
        <v>8000</v>
      </c>
      <c r="J9" s="193">
        <f t="shared" si="3"/>
        <v>0</v>
      </c>
      <c r="K9" s="194">
        <v>3700.0</v>
      </c>
      <c r="L9" s="174">
        <f>I9/(C4*3.5)</f>
        <v>67.22689076</v>
      </c>
      <c r="M9" s="164"/>
      <c r="N9" s="164"/>
      <c r="O9" s="164"/>
      <c r="P9" s="183"/>
      <c r="Q9" s="187"/>
      <c r="R9" s="184"/>
      <c r="S9" s="183"/>
      <c r="T9" s="187"/>
      <c r="U9" s="184"/>
      <c r="V9" s="183"/>
      <c r="W9" s="185"/>
      <c r="X9" s="164"/>
      <c r="Y9" s="164"/>
      <c r="Z9" s="164"/>
    </row>
    <row r="10" ht="15.75" customHeight="1">
      <c r="A10" s="164"/>
      <c r="B10" s="195" t="s">
        <v>267</v>
      </c>
      <c r="C10" s="196">
        <v>34.0</v>
      </c>
      <c r="D10" s="196">
        <v>2.0</v>
      </c>
      <c r="E10" s="196">
        <v>1.0</v>
      </c>
      <c r="F10" s="196">
        <v>1.0</v>
      </c>
      <c r="G10" s="197">
        <v>0.0</v>
      </c>
      <c r="H10" s="196">
        <v>15.0</v>
      </c>
      <c r="I10" s="196">
        <f>C34*H10</f>
        <v>0</v>
      </c>
      <c r="J10" s="198">
        <f t="shared" si="3"/>
        <v>0</v>
      </c>
      <c r="K10" s="199">
        <f>-G10+J10</f>
        <v>0</v>
      </c>
      <c r="L10" s="199"/>
      <c r="M10" s="164"/>
      <c r="N10" s="164"/>
      <c r="O10" s="164"/>
      <c r="P10" s="183" t="s">
        <v>268</v>
      </c>
      <c r="Q10" s="200">
        <v>6.0</v>
      </c>
      <c r="R10" s="184"/>
      <c r="S10" s="183" t="s">
        <v>268</v>
      </c>
      <c r="T10" s="200">
        <v>2.0</v>
      </c>
      <c r="U10" s="184"/>
      <c r="V10" s="201" t="s">
        <v>269</v>
      </c>
      <c r="W10" s="185"/>
      <c r="X10" s="164"/>
      <c r="Y10" s="164"/>
      <c r="Z10" s="164"/>
    </row>
    <row r="11" ht="15.75" customHeight="1">
      <c r="A11" s="164"/>
      <c r="B11" s="202" t="s">
        <v>270</v>
      </c>
      <c r="C11" s="164"/>
      <c r="D11" s="164"/>
      <c r="E11" s="164"/>
      <c r="F11" s="164">
        <v>6.0</v>
      </c>
      <c r="G11" s="203">
        <f>F11*C23</f>
        <v>1478.4</v>
      </c>
      <c r="H11" s="164"/>
      <c r="I11" s="164"/>
      <c r="J11" s="164"/>
      <c r="K11" s="164"/>
      <c r="L11" s="204"/>
      <c r="M11" s="164"/>
      <c r="N11" s="164"/>
      <c r="O11" s="164"/>
      <c r="P11" s="183" t="s">
        <v>271</v>
      </c>
      <c r="Q11" s="200">
        <v>1000.0</v>
      </c>
      <c r="R11" s="184"/>
      <c r="S11" s="183" t="s">
        <v>271</v>
      </c>
      <c r="T11" s="200">
        <v>1000.0</v>
      </c>
      <c r="U11" s="184"/>
      <c r="V11" s="183"/>
      <c r="W11" s="185"/>
      <c r="X11" s="164"/>
      <c r="Y11" s="164"/>
      <c r="Z11" s="164"/>
    </row>
    <row r="12" ht="15.75" customHeight="1">
      <c r="A12" s="164"/>
      <c r="B12" s="205" t="s">
        <v>272</v>
      </c>
      <c r="D12" s="22">
        <v>8.0</v>
      </c>
      <c r="E12" s="22">
        <v>1.0</v>
      </c>
      <c r="F12" s="22">
        <v>2.0</v>
      </c>
      <c r="G12" s="203">
        <f>(D12*C24)+(D12*C23*F12)</f>
        <v>5734.4</v>
      </c>
      <c r="M12" s="164"/>
      <c r="N12" s="164"/>
      <c r="O12" s="164"/>
      <c r="P12" s="183" t="s">
        <v>273</v>
      </c>
      <c r="Q12" s="187">
        <v>6.0</v>
      </c>
      <c r="R12" s="184"/>
      <c r="S12" s="183" t="s">
        <v>273</v>
      </c>
      <c r="T12" s="200">
        <v>2.0</v>
      </c>
      <c r="U12" s="184"/>
      <c r="V12" s="183"/>
      <c r="W12" s="185"/>
      <c r="X12" s="164"/>
      <c r="Y12" s="164"/>
      <c r="Z12" s="164"/>
    </row>
    <row r="13" ht="15.75" customHeight="1">
      <c r="A13" s="164"/>
      <c r="B13" s="206" t="s">
        <v>274</v>
      </c>
      <c r="C13" s="207">
        <v>2.0</v>
      </c>
      <c r="D13" s="207">
        <v>2.0</v>
      </c>
      <c r="E13" s="207">
        <v>10.0</v>
      </c>
      <c r="F13" s="207">
        <v>2.0</v>
      </c>
      <c r="G13" s="208">
        <f>(D13*C13*E13*$C$24)+(F13*D13*C13*$C$23)</f>
        <v>10931.2</v>
      </c>
      <c r="H13" s="207"/>
      <c r="I13" s="207"/>
      <c r="J13" s="208"/>
      <c r="K13" s="209"/>
      <c r="L13" s="210"/>
      <c r="M13" s="164"/>
      <c r="N13" s="164"/>
      <c r="O13" s="164"/>
      <c r="P13" s="211" t="s">
        <v>275</v>
      </c>
      <c r="Q13" s="212">
        <f>Q10*Q11*Q12</f>
        <v>36000</v>
      </c>
      <c r="R13" s="184"/>
      <c r="S13" s="211" t="s">
        <v>275</v>
      </c>
      <c r="T13" s="212">
        <f>T10*T11*T12</f>
        <v>4000</v>
      </c>
      <c r="U13" s="184"/>
      <c r="V13" s="211" t="s">
        <v>275</v>
      </c>
      <c r="W13" s="213">
        <v>15000.0</v>
      </c>
      <c r="X13" s="164"/>
      <c r="Y13" s="164"/>
      <c r="Z13" s="164"/>
    </row>
    <row r="14" ht="15.75" customHeight="1">
      <c r="A14" s="164"/>
      <c r="B14" s="214" t="s">
        <v>276</v>
      </c>
      <c r="C14" s="214"/>
      <c r="D14" s="214"/>
      <c r="E14" s="214"/>
      <c r="F14" s="214"/>
      <c r="G14" s="215">
        <f>SUM(G3:G13)</f>
        <v>203929.6</v>
      </c>
      <c r="H14" s="216">
        <f>SUM(H3:H10)</f>
        <v>96</v>
      </c>
      <c r="I14" s="214"/>
      <c r="J14" s="217">
        <f>SUM(J3:J10)+J19</f>
        <v>337200</v>
      </c>
      <c r="K14" s="218">
        <f>J14-G14</f>
        <v>133270.4</v>
      </c>
      <c r="L14" s="219"/>
      <c r="M14" s="164"/>
      <c r="N14" s="164"/>
      <c r="O14" s="164"/>
      <c r="P14" s="183"/>
      <c r="Q14" s="184"/>
      <c r="R14" s="184"/>
      <c r="T14" s="184"/>
      <c r="U14" s="184"/>
      <c r="V14" s="184"/>
      <c r="W14" s="185"/>
      <c r="X14" s="164"/>
      <c r="Y14" s="164"/>
      <c r="Z14" s="164"/>
    </row>
    <row r="15" ht="15.75" customHeight="1">
      <c r="A15" s="164"/>
      <c r="B15" s="22" t="s">
        <v>277</v>
      </c>
      <c r="C15" s="220"/>
      <c r="D15" s="220"/>
      <c r="E15" s="220"/>
      <c r="F15" s="175"/>
      <c r="G15" s="203"/>
      <c r="I15" s="175"/>
      <c r="K15" s="164"/>
      <c r="L15" s="164"/>
      <c r="M15" s="164"/>
      <c r="N15" s="164"/>
      <c r="O15" s="164"/>
      <c r="P15" s="188" t="s">
        <v>278</v>
      </c>
      <c r="Q15" s="189"/>
      <c r="R15" s="184"/>
      <c r="S15" s="221" t="s">
        <v>279</v>
      </c>
      <c r="T15" s="222"/>
      <c r="U15" s="184"/>
      <c r="V15" s="223"/>
      <c r="W15" s="224"/>
      <c r="X15" s="164"/>
      <c r="Y15" s="164"/>
      <c r="Z15" s="164"/>
    </row>
    <row r="16" ht="23.25" customHeight="1">
      <c r="A16" s="164"/>
      <c r="I16" s="170" t="s">
        <v>280</v>
      </c>
      <c r="J16" s="171">
        <f>K14</f>
        <v>133270.4</v>
      </c>
      <c r="L16" s="164"/>
      <c r="M16" s="164"/>
      <c r="N16" s="164"/>
      <c r="O16" s="164"/>
      <c r="P16" s="183" t="s">
        <v>281</v>
      </c>
      <c r="Q16" s="187">
        <v>130.0</v>
      </c>
      <c r="R16" s="184"/>
      <c r="S16" s="225" t="s">
        <v>268</v>
      </c>
      <c r="T16" s="226">
        <v>5.0</v>
      </c>
      <c r="U16" s="184"/>
      <c r="V16" s="227"/>
      <c r="W16" s="228"/>
      <c r="X16" s="164"/>
      <c r="Y16" s="164"/>
      <c r="Z16" s="164"/>
    </row>
    <row r="17" ht="18.0" customHeight="1">
      <c r="A17" s="164"/>
      <c r="L17" s="164"/>
      <c r="M17" s="164"/>
      <c r="N17" s="164"/>
      <c r="O17" s="164"/>
      <c r="P17" s="183" t="s">
        <v>251</v>
      </c>
      <c r="Q17" s="187">
        <v>8.0</v>
      </c>
      <c r="R17" s="184"/>
      <c r="S17" s="225" t="s">
        <v>271</v>
      </c>
      <c r="T17" s="226">
        <v>350.0</v>
      </c>
      <c r="U17" s="184"/>
      <c r="V17" s="227"/>
      <c r="W17" s="228"/>
      <c r="X17" s="164"/>
      <c r="Y17" s="164"/>
      <c r="Z17" s="164"/>
    </row>
    <row r="18" ht="15.75" customHeight="1">
      <c r="A18" s="164"/>
      <c r="I18" s="69" t="s">
        <v>282</v>
      </c>
      <c r="L18" s="164"/>
      <c r="M18" s="164"/>
      <c r="N18" s="164"/>
      <c r="O18" s="164"/>
      <c r="P18" s="183" t="s">
        <v>283</v>
      </c>
      <c r="Q18" s="187">
        <v>6.0</v>
      </c>
      <c r="R18" s="184"/>
      <c r="S18" s="225" t="s">
        <v>273</v>
      </c>
      <c r="T18" s="226">
        <v>6.0</v>
      </c>
      <c r="U18" s="184"/>
      <c r="V18" s="227"/>
      <c r="W18" s="228"/>
      <c r="X18" s="164"/>
      <c r="Y18" s="164"/>
      <c r="Z18" s="164"/>
    </row>
    <row r="19">
      <c r="A19" s="164"/>
      <c r="B19" s="170"/>
      <c r="C19" s="170"/>
      <c r="D19" s="170"/>
      <c r="E19" s="170"/>
      <c r="F19" s="170"/>
      <c r="G19" s="229"/>
      <c r="H19" s="170"/>
      <c r="I19" s="170" t="s">
        <v>284</v>
      </c>
      <c r="J19" s="175">
        <v>-4000.0</v>
      </c>
      <c r="K19" s="230"/>
      <c r="L19" s="164"/>
      <c r="M19" s="164"/>
      <c r="N19" s="164"/>
      <c r="O19" s="164"/>
      <c r="P19" s="211" t="s">
        <v>275</v>
      </c>
      <c r="Q19" s="212">
        <f>Q16*Q17*Q18</f>
        <v>6240</v>
      </c>
      <c r="R19" s="184"/>
      <c r="S19" s="211" t="s">
        <v>275</v>
      </c>
      <c r="T19" s="231">
        <f>T16*T17*T18</f>
        <v>10500</v>
      </c>
      <c r="U19" s="184"/>
      <c r="V19" s="227"/>
      <c r="W19" s="228"/>
      <c r="X19" s="164"/>
      <c r="Y19" s="164"/>
      <c r="Z19" s="164"/>
    </row>
    <row r="20" ht="15.0" customHeight="1">
      <c r="A20" s="164"/>
      <c r="E20" s="170"/>
      <c r="F20" s="170"/>
      <c r="G20" s="232"/>
      <c r="H20" s="170"/>
      <c r="I20" s="170" t="s">
        <v>285</v>
      </c>
      <c r="J20" s="233">
        <f>Q21</f>
        <v>-71740</v>
      </c>
      <c r="K20" s="170"/>
      <c r="L20" s="164"/>
      <c r="M20" s="164"/>
      <c r="N20" s="164"/>
      <c r="O20" s="164"/>
      <c r="P20" s="183"/>
      <c r="Q20" s="184"/>
      <c r="R20" s="184"/>
      <c r="T20" s="184"/>
      <c r="U20" s="184"/>
      <c r="W20" s="234"/>
      <c r="X20" s="164"/>
      <c r="Y20" s="164"/>
      <c r="Z20" s="164"/>
    </row>
    <row r="21" ht="59.25" customHeight="1">
      <c r="A21" s="164"/>
      <c r="B21" s="235" t="s">
        <v>286</v>
      </c>
      <c r="C21" s="236"/>
      <c r="D21" s="237"/>
      <c r="E21" s="170"/>
      <c r="F21" s="170"/>
      <c r="G21" s="232"/>
      <c r="H21" s="238"/>
      <c r="I21" s="181" t="s">
        <v>287</v>
      </c>
      <c r="J21" s="220">
        <v>-26000.0</v>
      </c>
      <c r="K21" s="239" t="s">
        <v>288</v>
      </c>
      <c r="L21" s="240"/>
      <c r="M21" s="164"/>
      <c r="N21" s="164"/>
      <c r="O21" s="164"/>
      <c r="P21" s="241" t="s">
        <v>289</v>
      </c>
      <c r="Q21" s="242">
        <f>(Q13+Q19+T13+T19+W13+W19)*-1</f>
        <v>-71740</v>
      </c>
      <c r="R21" s="243"/>
      <c r="S21" s="244"/>
      <c r="T21" s="243"/>
      <c r="U21" s="243"/>
      <c r="V21" s="243"/>
      <c r="W21" s="213"/>
      <c r="X21" s="164"/>
      <c r="Y21" s="164"/>
      <c r="Z21" s="164"/>
    </row>
    <row r="22" ht="15.75" customHeight="1">
      <c r="A22" s="164"/>
      <c r="B22" s="245" t="s">
        <v>290</v>
      </c>
      <c r="C22" s="170"/>
      <c r="D22" s="246"/>
      <c r="E22" s="170"/>
      <c r="F22" s="170"/>
      <c r="G22" s="232"/>
      <c r="H22" s="238"/>
      <c r="I22" s="181" t="s">
        <v>291</v>
      </c>
      <c r="J22" s="220">
        <v>-36000.0</v>
      </c>
      <c r="K22" s="184" t="s">
        <v>292</v>
      </c>
      <c r="M22" s="164"/>
      <c r="N22" s="164"/>
      <c r="O22" s="164"/>
      <c r="R22" s="184"/>
      <c r="S22" s="184"/>
      <c r="T22" s="184"/>
      <c r="U22" s="184"/>
      <c r="V22" s="184"/>
      <c r="W22" s="164"/>
      <c r="X22" s="164"/>
      <c r="Y22" s="164"/>
      <c r="Z22" s="164"/>
    </row>
    <row r="23" ht="15.75" customHeight="1">
      <c r="A23" s="164"/>
      <c r="B23" s="247" t="s">
        <v>293</v>
      </c>
      <c r="C23" s="175">
        <f>220*(1+feriepengesats)</f>
        <v>246.4</v>
      </c>
      <c r="D23" s="246"/>
      <c r="E23" s="9" t="s">
        <v>294</v>
      </c>
      <c r="F23" s="248">
        <f>220/246.4</f>
        <v>0.8928571429</v>
      </c>
      <c r="G23" s="232">
        <f>(G14+(-1*J21))*F23</f>
        <v>205294.2857</v>
      </c>
      <c r="H23" s="249"/>
      <c r="I23" s="181" t="s">
        <v>295</v>
      </c>
      <c r="J23" s="175">
        <v>-5000.0</v>
      </c>
      <c r="K23" s="164" t="s">
        <v>296</v>
      </c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64"/>
      <c r="X23" s="164"/>
      <c r="Y23" s="164"/>
      <c r="Z23" s="164"/>
    </row>
    <row r="24" ht="15.75" customHeight="1">
      <c r="A24" s="164"/>
      <c r="B24" s="247" t="s">
        <v>297</v>
      </c>
      <c r="C24" s="175">
        <f>200*(1+feriepengesats)</f>
        <v>224</v>
      </c>
      <c r="D24" s="246"/>
      <c r="E24" s="248" t="s">
        <v>298</v>
      </c>
      <c r="F24" s="181"/>
      <c r="G24" s="232">
        <f>(G14+(-1*J21))*(1-F23)</f>
        <v>24635.31429</v>
      </c>
      <c r="H24" s="249"/>
      <c r="I24" s="181" t="s">
        <v>299</v>
      </c>
      <c r="J24" s="175">
        <v>-4000.0</v>
      </c>
      <c r="K24" s="22" t="s">
        <v>300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ht="22.5" customHeight="1">
      <c r="A25" s="164"/>
      <c r="B25" s="247"/>
      <c r="C25" s="170"/>
      <c r="D25" s="246"/>
      <c r="E25" s="248" t="s">
        <v>244</v>
      </c>
      <c r="F25" s="181"/>
      <c r="G25" s="250">
        <f>G23+G24-G14+J21</f>
        <v>0</v>
      </c>
      <c r="I25" s="170" t="s">
        <v>301</v>
      </c>
      <c r="J25" s="175">
        <v>-8000.0</v>
      </c>
      <c r="K25" s="164" t="s">
        <v>302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ht="15.75" customHeight="1">
      <c r="A26" s="164"/>
      <c r="B26" s="251" t="s">
        <v>303</v>
      </c>
      <c r="C26" s="252"/>
      <c r="D26" s="253"/>
      <c r="E26" s="170"/>
      <c r="F26" s="170"/>
      <c r="G26" s="229"/>
      <c r="H26" s="249"/>
      <c r="I26" s="170" t="s">
        <v>304</v>
      </c>
      <c r="J26" s="175">
        <v>-4000.0</v>
      </c>
      <c r="K26" s="25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ht="15.75" customHeight="1">
      <c r="A27" s="164"/>
      <c r="B27" s="255" t="s">
        <v>305</v>
      </c>
      <c r="C27" s="164">
        <v>2800.0</v>
      </c>
      <c r="D27" s="256">
        <v>200.0</v>
      </c>
      <c r="E27" s="170"/>
      <c r="F27" s="170"/>
      <c r="G27" s="229"/>
      <c r="H27" s="170"/>
      <c r="I27" s="170" t="s">
        <v>306</v>
      </c>
      <c r="J27" s="175">
        <v>-4000.0</v>
      </c>
      <c r="K27" s="257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ht="15.75" customHeight="1">
      <c r="A28" s="164"/>
      <c r="B28" s="255" t="s">
        <v>256</v>
      </c>
      <c r="C28" s="164">
        <v>2300.0</v>
      </c>
      <c r="D28" s="256">
        <v>150.0</v>
      </c>
      <c r="E28" s="170"/>
      <c r="F28" s="170"/>
      <c r="G28" s="229"/>
      <c r="H28" s="170"/>
      <c r="I28" s="258" t="s">
        <v>307</v>
      </c>
      <c r="J28" s="259">
        <f>SUM(J16:J27)</f>
        <v>-29469.6</v>
      </c>
      <c r="K28" s="170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ht="15.75" customHeight="1">
      <c r="A29" s="164"/>
      <c r="B29" s="255" t="s">
        <v>257</v>
      </c>
      <c r="C29" s="164">
        <v>1800.0</v>
      </c>
      <c r="D29" s="260">
        <v>150.0</v>
      </c>
      <c r="E29" s="164"/>
      <c r="F29" s="164"/>
      <c r="G29" s="164"/>
      <c r="H29" s="170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ht="15.75" customHeight="1">
      <c r="A30" s="164"/>
      <c r="B30" s="255" t="s">
        <v>308</v>
      </c>
      <c r="C30" s="164">
        <v>3700.0</v>
      </c>
      <c r="D30" s="260">
        <v>200.0</v>
      </c>
      <c r="E30" s="164"/>
      <c r="F30" s="164"/>
      <c r="G30" s="164"/>
      <c r="H30" s="164"/>
      <c r="I30" s="261" t="s">
        <v>309</v>
      </c>
      <c r="J30" s="164"/>
      <c r="K30" s="164"/>
      <c r="L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ht="15.75" customHeight="1">
      <c r="A31" s="164"/>
      <c r="B31" s="255" t="s">
        <v>310</v>
      </c>
      <c r="C31" s="164">
        <v>1800.0</v>
      </c>
      <c r="D31" s="260">
        <v>150.0</v>
      </c>
      <c r="E31" s="164"/>
      <c r="F31" s="184"/>
      <c r="G31" s="262"/>
      <c r="H31" s="262"/>
      <c r="I31" s="261" t="s">
        <v>311</v>
      </c>
      <c r="J31" s="262"/>
      <c r="K31" s="184"/>
      <c r="L31" s="184"/>
      <c r="R31" s="164"/>
      <c r="S31" s="164"/>
      <c r="T31" s="164"/>
      <c r="U31" s="164"/>
      <c r="V31" s="164"/>
      <c r="W31" s="164"/>
      <c r="X31" s="164"/>
      <c r="Y31" s="164"/>
      <c r="Z31" s="164"/>
    </row>
    <row r="32" ht="15.75" customHeight="1">
      <c r="A32" s="164"/>
      <c r="B32" s="255" t="s">
        <v>312</v>
      </c>
      <c r="C32" s="164">
        <v>1200.0</v>
      </c>
      <c r="D32" s="260">
        <v>200.0</v>
      </c>
      <c r="E32" s="164"/>
      <c r="F32" s="184"/>
      <c r="G32" s="263"/>
      <c r="H32" s="184"/>
      <c r="J32" s="184"/>
      <c r="K32" s="184"/>
      <c r="L32" s="184"/>
      <c r="R32" s="164"/>
      <c r="S32" s="164"/>
      <c r="T32" s="164"/>
      <c r="U32" s="164"/>
      <c r="V32" s="164"/>
      <c r="W32" s="164"/>
      <c r="X32" s="164"/>
      <c r="Y32" s="164"/>
      <c r="Z32" s="164"/>
    </row>
    <row r="33" ht="15.75" customHeight="1">
      <c r="A33" s="164"/>
      <c r="B33" s="255" t="s">
        <v>266</v>
      </c>
      <c r="C33" s="164">
        <v>4000.0</v>
      </c>
      <c r="D33" s="260">
        <v>300.0</v>
      </c>
      <c r="E33" s="164"/>
      <c r="F33" s="184"/>
      <c r="G33" s="184"/>
      <c r="I33" s="264" t="s">
        <v>313</v>
      </c>
      <c r="J33" s="265"/>
      <c r="K33" s="266"/>
      <c r="L33" s="265"/>
      <c r="M33" s="267"/>
      <c r="N33" s="267"/>
      <c r="O33" s="267"/>
      <c r="P33" s="268"/>
      <c r="R33" s="164"/>
      <c r="S33" s="164"/>
      <c r="T33" s="164"/>
      <c r="U33" s="164"/>
      <c r="V33" s="164"/>
      <c r="W33" s="164"/>
      <c r="X33" s="164"/>
      <c r="Y33" s="164"/>
      <c r="Z33" s="164"/>
    </row>
    <row r="34" ht="15.75" customHeight="1">
      <c r="A34" s="164"/>
      <c r="B34" s="269" t="s">
        <v>314</v>
      </c>
      <c r="C34" s="219">
        <v>0.0</v>
      </c>
      <c r="D34" s="270"/>
      <c r="E34" s="164"/>
      <c r="F34" s="184"/>
      <c r="G34" s="184"/>
      <c r="I34" s="271" t="s">
        <v>217</v>
      </c>
      <c r="J34" s="184"/>
      <c r="K34" s="184"/>
      <c r="L34" s="184"/>
      <c r="P34" s="129"/>
      <c r="R34" s="164"/>
      <c r="S34" s="164"/>
      <c r="T34" s="164"/>
      <c r="U34" s="164"/>
      <c r="V34" s="164"/>
      <c r="W34" s="164"/>
      <c r="X34" s="164"/>
      <c r="Y34" s="164"/>
      <c r="Z34" s="164"/>
    </row>
    <row r="35" ht="15.75" customHeight="1">
      <c r="A35" s="164"/>
      <c r="B35" s="164"/>
      <c r="C35" s="164"/>
      <c r="D35" s="164"/>
      <c r="E35" s="164"/>
      <c r="F35" s="184"/>
      <c r="G35" s="22"/>
      <c r="I35" s="272" t="s">
        <v>315</v>
      </c>
      <c r="K35" s="22"/>
      <c r="L35" s="184"/>
      <c r="P35" s="273">
        <f>J6</f>
        <v>59200</v>
      </c>
      <c r="R35" s="164"/>
      <c r="S35" s="164"/>
      <c r="T35" s="164"/>
      <c r="U35" s="164"/>
      <c r="V35" s="164"/>
      <c r="W35" s="164"/>
      <c r="X35" s="164"/>
      <c r="Y35" s="164"/>
      <c r="Z35" s="164"/>
    </row>
    <row r="36" ht="15.75" customHeight="1">
      <c r="A36" s="164"/>
      <c r="B36" s="164"/>
      <c r="C36" s="164"/>
      <c r="D36" s="164"/>
      <c r="E36" s="164"/>
      <c r="F36" s="184"/>
      <c r="G36" s="184"/>
      <c r="H36" s="184"/>
      <c r="I36" s="113"/>
      <c r="J36" s="184"/>
      <c r="K36" s="274"/>
      <c r="L36" s="184"/>
      <c r="P36" s="129"/>
      <c r="S36" s="164"/>
      <c r="T36" s="164"/>
      <c r="U36" s="164"/>
      <c r="V36" s="164"/>
      <c r="W36" s="164"/>
      <c r="X36" s="164"/>
      <c r="Y36" s="164"/>
      <c r="Z36" s="164"/>
    </row>
    <row r="37" ht="15.75" customHeight="1">
      <c r="A37" s="164"/>
      <c r="B37" s="164"/>
      <c r="C37" s="164"/>
      <c r="D37" s="164"/>
      <c r="E37" s="164"/>
      <c r="F37" s="184"/>
      <c r="G37" s="22"/>
      <c r="I37" s="113"/>
      <c r="K37" s="22"/>
      <c r="L37" s="184"/>
      <c r="P37" s="129"/>
      <c r="R37" s="164"/>
      <c r="S37" s="164"/>
      <c r="T37" s="164"/>
      <c r="U37" s="164"/>
      <c r="V37" s="164"/>
      <c r="W37" s="164"/>
      <c r="X37" s="164"/>
      <c r="Y37" s="164"/>
      <c r="Z37" s="164"/>
    </row>
    <row r="38" ht="15.75" customHeight="1">
      <c r="A38" s="164"/>
      <c r="B38" s="164"/>
      <c r="C38" s="164"/>
      <c r="D38" s="164"/>
      <c r="E38" s="164"/>
      <c r="F38" s="184"/>
      <c r="G38" s="263"/>
      <c r="H38" s="184"/>
      <c r="I38" s="275" t="s">
        <v>316</v>
      </c>
      <c r="J38" s="243"/>
      <c r="K38" s="243"/>
      <c r="L38" s="243"/>
      <c r="M38" s="62"/>
      <c r="N38" s="62"/>
      <c r="O38" s="62"/>
      <c r="P38" s="276">
        <f>SUM(P35:P37)</f>
        <v>59200</v>
      </c>
      <c r="R38" s="164"/>
      <c r="S38" s="164"/>
      <c r="T38" s="164"/>
      <c r="U38" s="164"/>
      <c r="V38" s="164"/>
      <c r="W38" s="164"/>
      <c r="X38" s="164"/>
      <c r="Y38" s="164"/>
      <c r="Z38" s="164"/>
    </row>
    <row r="39" ht="15.75" customHeight="1">
      <c r="A39" s="164"/>
      <c r="B39" s="164"/>
      <c r="C39" s="164"/>
      <c r="D39" s="164"/>
      <c r="E39" s="164"/>
      <c r="F39" s="184"/>
      <c r="G39" s="184"/>
      <c r="I39" s="113"/>
      <c r="J39" s="184"/>
      <c r="K39" s="184"/>
      <c r="L39" s="184"/>
      <c r="P39" s="129"/>
      <c r="R39" s="164"/>
      <c r="S39" s="164"/>
      <c r="T39" s="164"/>
      <c r="U39" s="164"/>
      <c r="V39" s="164"/>
      <c r="W39" s="164"/>
      <c r="X39" s="164"/>
      <c r="Y39" s="164"/>
      <c r="Z39" s="164"/>
    </row>
    <row r="40" ht="15.75" customHeight="1">
      <c r="A40" s="164"/>
      <c r="B40" s="164"/>
      <c r="C40" s="164"/>
      <c r="D40" s="164"/>
      <c r="E40" s="164"/>
      <c r="F40" s="184"/>
      <c r="G40" s="184"/>
      <c r="I40" s="271" t="s">
        <v>317</v>
      </c>
      <c r="J40" s="184"/>
      <c r="K40" s="184"/>
      <c r="L40" s="184"/>
      <c r="P40" s="129"/>
      <c r="R40" s="164"/>
      <c r="S40" s="164"/>
      <c r="T40" s="164"/>
      <c r="U40" s="164"/>
      <c r="V40" s="164"/>
      <c r="W40" s="164"/>
      <c r="X40" s="164"/>
      <c r="Y40" s="164"/>
      <c r="Z40" s="164"/>
    </row>
    <row r="41" ht="15.75" customHeight="1">
      <c r="A41" s="164"/>
      <c r="B41" s="164"/>
      <c r="C41" s="164"/>
      <c r="D41" s="164"/>
      <c r="E41" s="164"/>
      <c r="F41" s="184"/>
      <c r="G41" s="184"/>
      <c r="I41" s="272" t="s">
        <v>258</v>
      </c>
      <c r="J41" s="184"/>
      <c r="K41" s="184"/>
      <c r="L41" s="184"/>
      <c r="P41" s="277">
        <f>Q21</f>
        <v>-71740</v>
      </c>
      <c r="R41" s="164"/>
      <c r="S41" s="164"/>
      <c r="T41" s="164"/>
      <c r="U41" s="164"/>
      <c r="V41" s="164"/>
      <c r="W41" s="164"/>
      <c r="X41" s="164"/>
      <c r="Y41" s="164"/>
      <c r="Z41" s="164"/>
    </row>
    <row r="42" ht="15.75" customHeight="1">
      <c r="A42" s="164"/>
      <c r="B42" s="164"/>
      <c r="C42" s="164"/>
      <c r="D42" s="164"/>
      <c r="E42" s="164"/>
      <c r="F42" s="184"/>
      <c r="G42" s="184"/>
      <c r="I42" s="272" t="s">
        <v>318</v>
      </c>
      <c r="J42" s="184"/>
      <c r="K42" s="184"/>
      <c r="L42" s="184"/>
      <c r="P42" s="129">
        <f>J22</f>
        <v>-36000</v>
      </c>
      <c r="R42" s="164"/>
      <c r="S42" s="164"/>
      <c r="T42" s="164"/>
      <c r="U42" s="164"/>
      <c r="V42" s="164"/>
      <c r="W42" s="164"/>
      <c r="X42" s="164"/>
      <c r="Y42" s="164"/>
      <c r="Z42" s="164"/>
    </row>
    <row r="43" ht="15.75" customHeight="1">
      <c r="A43" s="164"/>
      <c r="B43" s="164"/>
      <c r="C43" s="164"/>
      <c r="D43" s="164"/>
      <c r="E43" s="164"/>
      <c r="F43" s="184"/>
      <c r="G43" s="184"/>
      <c r="I43" s="272" t="s">
        <v>319</v>
      </c>
      <c r="J43" s="184"/>
      <c r="K43" s="184"/>
      <c r="L43" s="184"/>
      <c r="P43" s="129">
        <v>-18000.0</v>
      </c>
      <c r="R43" s="164"/>
      <c r="S43" s="164"/>
      <c r="T43" s="164"/>
      <c r="U43" s="164"/>
      <c r="V43" s="164"/>
      <c r="W43" s="164"/>
      <c r="X43" s="164"/>
      <c r="Y43" s="164"/>
      <c r="Z43" s="164"/>
    </row>
    <row r="44" ht="15.75" customHeight="1">
      <c r="A44" s="164"/>
      <c r="B44" s="164"/>
      <c r="C44" s="164"/>
      <c r="D44" s="164"/>
      <c r="E44" s="164"/>
      <c r="F44" s="184"/>
      <c r="G44" s="184"/>
      <c r="I44" s="272" t="s">
        <v>320</v>
      </c>
      <c r="J44" s="184"/>
      <c r="K44" s="184"/>
      <c r="L44" s="184"/>
      <c r="P44" s="129">
        <f>(G6+G12+G11)*(-1)</f>
        <v>-74950.4</v>
      </c>
      <c r="R44" s="164"/>
      <c r="S44" s="164"/>
      <c r="T44" s="164"/>
      <c r="U44" s="164"/>
      <c r="V44" s="164"/>
      <c r="W44" s="164"/>
      <c r="X44" s="164"/>
      <c r="Y44" s="164"/>
      <c r="Z44" s="164"/>
    </row>
    <row r="45" ht="15.75" customHeight="1">
      <c r="A45" s="164"/>
      <c r="B45" s="164"/>
      <c r="C45" s="164"/>
      <c r="D45" s="164"/>
      <c r="E45" s="164"/>
      <c r="F45" s="184"/>
      <c r="G45" s="184"/>
      <c r="H45" s="184"/>
      <c r="I45" s="272" t="s">
        <v>321</v>
      </c>
      <c r="J45" s="184"/>
      <c r="K45" s="184"/>
      <c r="L45" s="184"/>
      <c r="P45" s="129">
        <v>-2000.0</v>
      </c>
      <c r="R45" s="164"/>
      <c r="S45" s="164"/>
      <c r="T45" s="164"/>
      <c r="U45" s="164"/>
      <c r="V45" s="164"/>
      <c r="W45" s="164"/>
      <c r="X45" s="164"/>
      <c r="Y45" s="164"/>
      <c r="Z45" s="164"/>
    </row>
    <row r="46" ht="15.75" customHeight="1">
      <c r="A46" s="164"/>
      <c r="B46" s="164"/>
      <c r="C46" s="164"/>
      <c r="D46" s="164"/>
      <c r="E46" s="164"/>
      <c r="F46" s="184"/>
      <c r="G46" s="184"/>
      <c r="H46" s="184"/>
      <c r="I46" s="272" t="s">
        <v>322</v>
      </c>
      <c r="J46" s="184"/>
      <c r="K46" s="184"/>
      <c r="L46" s="184"/>
      <c r="P46" s="129">
        <v>-1000.0</v>
      </c>
      <c r="R46" s="164"/>
      <c r="S46" s="164"/>
      <c r="T46" s="164"/>
      <c r="U46" s="164"/>
      <c r="V46" s="164"/>
      <c r="W46" s="164"/>
      <c r="X46" s="164"/>
      <c r="Y46" s="164"/>
      <c r="Z46" s="164"/>
    </row>
    <row r="47" ht="15.75" customHeight="1">
      <c r="A47" s="164"/>
      <c r="B47" s="164"/>
      <c r="C47" s="164"/>
      <c r="D47" s="164"/>
      <c r="E47" s="164"/>
      <c r="F47" s="184"/>
      <c r="G47" s="22"/>
      <c r="H47" s="184"/>
      <c r="I47" s="113"/>
      <c r="J47" s="184"/>
      <c r="K47" s="184"/>
      <c r="L47" s="184"/>
      <c r="P47" s="129"/>
      <c r="R47" s="164"/>
      <c r="S47" s="164"/>
      <c r="T47" s="164"/>
      <c r="U47" s="164"/>
      <c r="V47" s="164"/>
      <c r="W47" s="164"/>
      <c r="X47" s="164"/>
      <c r="Y47" s="164"/>
      <c r="Z47" s="164"/>
    </row>
    <row r="48" ht="15.75" customHeight="1">
      <c r="A48" s="164"/>
      <c r="B48" s="164"/>
      <c r="C48" s="164"/>
      <c r="D48" s="164"/>
      <c r="E48" s="164"/>
      <c r="F48" s="184"/>
      <c r="G48" s="184"/>
      <c r="H48" s="184"/>
      <c r="I48" s="275" t="s">
        <v>235</v>
      </c>
      <c r="J48" s="243"/>
      <c r="K48" s="278"/>
      <c r="L48" s="243"/>
      <c r="M48" s="62"/>
      <c r="N48" s="62"/>
      <c r="O48" s="62"/>
      <c r="P48" s="134">
        <f>SUM(P41:P47)</f>
        <v>-203690.4</v>
      </c>
      <c r="R48" s="164"/>
      <c r="S48" s="164"/>
      <c r="T48" s="164"/>
      <c r="U48" s="164"/>
      <c r="V48" s="164"/>
      <c r="W48" s="164"/>
      <c r="X48" s="164"/>
      <c r="Y48" s="164"/>
      <c r="Z48" s="164"/>
    </row>
    <row r="49" ht="15.75" customHeight="1">
      <c r="A49" s="164"/>
      <c r="B49" s="164"/>
      <c r="C49" s="164"/>
      <c r="D49" s="164"/>
      <c r="E49" s="164"/>
      <c r="F49" s="184"/>
      <c r="G49" s="184"/>
      <c r="H49" s="184"/>
      <c r="I49" s="113"/>
      <c r="J49" s="184"/>
      <c r="K49" s="184"/>
      <c r="L49" s="184"/>
      <c r="P49" s="129"/>
      <c r="R49" s="164"/>
      <c r="S49" s="164"/>
      <c r="T49" s="164"/>
      <c r="U49" s="164"/>
      <c r="V49" s="164"/>
      <c r="W49" s="164"/>
      <c r="X49" s="164"/>
      <c r="Y49" s="164"/>
      <c r="Z49" s="164"/>
    </row>
    <row r="50" ht="15.75" customHeight="1">
      <c r="A50" s="164"/>
      <c r="B50" s="164"/>
      <c r="C50" s="164"/>
      <c r="D50" s="164"/>
      <c r="E50" s="164"/>
      <c r="F50" s="184"/>
      <c r="G50" s="184"/>
      <c r="H50" s="184"/>
      <c r="I50" s="279" t="s">
        <v>186</v>
      </c>
      <c r="J50" s="280"/>
      <c r="K50" s="280"/>
      <c r="L50" s="280"/>
      <c r="M50" s="280"/>
      <c r="N50" s="219"/>
      <c r="O50" s="219"/>
      <c r="P50" s="281">
        <f>P48+P38</f>
        <v>-144490.4</v>
      </c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ht="15.75" customHeight="1">
      <c r="A51" s="164"/>
      <c r="B51" s="164"/>
      <c r="C51" s="164"/>
      <c r="D51" s="164"/>
      <c r="E51" s="164"/>
      <c r="F51" s="184"/>
      <c r="G51" s="184"/>
      <c r="H51" s="184"/>
      <c r="I51" s="184"/>
      <c r="J51" s="184"/>
      <c r="K51" s="184"/>
      <c r="L51" s="184"/>
      <c r="M51" s="18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ht="15.75" customHeight="1">
      <c r="A52" s="164"/>
      <c r="B52" s="164"/>
      <c r="C52" s="164"/>
      <c r="D52" s="164"/>
      <c r="E52" s="164"/>
      <c r="F52" s="184"/>
      <c r="G52" s="184"/>
      <c r="H52" s="184"/>
      <c r="I52" s="184"/>
      <c r="J52" s="184"/>
      <c r="K52" s="184"/>
      <c r="L52" s="184"/>
      <c r="M52" s="18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ht="15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ht="15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ht="15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ht="15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ht="15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ht="15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ht="15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ht="15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ht="15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ht="15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ht="15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ht="15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ht="15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ht="15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ht="15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ht="15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ht="15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ht="15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ht="15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ht="15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ht="15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ht="15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ht="15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ht="15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ht="15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ht="15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ht="15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ht="15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ht="15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ht="15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ht="15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ht="15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ht="15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ht="15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ht="15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  <row r="88" ht="15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</row>
    <row r="89" ht="15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</row>
    <row r="90" ht="15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</row>
    <row r="91" ht="15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</row>
    <row r="92" ht="15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</row>
    <row r="93" ht="15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</row>
    <row r="94" ht="15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</row>
    <row r="95" ht="15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</row>
    <row r="96" ht="15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</row>
    <row r="97" ht="15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</row>
    <row r="98" ht="15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</row>
    <row r="99" ht="15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</row>
    <row r="100" ht="15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</row>
    <row r="101" ht="15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</row>
    <row r="102" ht="15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</row>
    <row r="103" ht="15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</row>
    <row r="104" ht="15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</row>
    <row r="105" ht="15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</row>
    <row r="106" ht="15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</row>
    <row r="107" ht="15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</row>
    <row r="108" ht="15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</row>
    <row r="109" ht="15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</row>
    <row r="110" ht="15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</row>
    <row r="111" ht="15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</row>
    <row r="112" ht="15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</row>
    <row r="113" ht="15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</row>
    <row r="114" ht="15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</row>
    <row r="115" ht="15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</row>
    <row r="116" ht="15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</row>
    <row r="117" ht="15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</row>
    <row r="118" ht="15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</row>
    <row r="119" ht="15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</row>
    <row r="120" ht="15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</row>
    <row r="121" ht="15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</row>
    <row r="122" ht="15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</row>
    <row r="123" ht="15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</row>
    <row r="124" ht="15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</row>
    <row r="125" ht="15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</row>
    <row r="126" ht="15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</row>
    <row r="127" ht="15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</row>
    <row r="128" ht="15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</row>
    <row r="129" ht="15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</row>
    <row r="130" ht="15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</row>
    <row r="131" ht="15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</row>
    <row r="132" ht="15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</row>
    <row r="133" ht="15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</row>
    <row r="134" ht="15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</row>
    <row r="135" ht="15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</row>
    <row r="136" ht="15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</row>
    <row r="137" ht="15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</row>
    <row r="138" ht="15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</row>
    <row r="139" ht="15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</row>
    <row r="140" ht="15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</row>
    <row r="141" ht="15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</row>
    <row r="142" ht="15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</row>
    <row r="143" ht="15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</row>
    <row r="144" ht="15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</row>
    <row r="145" ht="15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</row>
    <row r="146" ht="15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</row>
    <row r="147" ht="15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</row>
    <row r="148" ht="15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</row>
    <row r="149" ht="15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</row>
    <row r="150" ht="15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</row>
    <row r="151" ht="15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</row>
    <row r="152" ht="15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</row>
    <row r="153" ht="15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</row>
    <row r="154" ht="15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</row>
    <row r="155" ht="15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</row>
    <row r="156" ht="15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</row>
    <row r="157" ht="15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</row>
    <row r="158" ht="15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</row>
    <row r="159" ht="15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</row>
    <row r="160" ht="15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</row>
    <row r="161" ht="15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</row>
    <row r="162" ht="15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</row>
    <row r="163" ht="15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</row>
    <row r="164" ht="15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</row>
    <row r="165" ht="15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</row>
    <row r="166" ht="15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</row>
    <row r="167" ht="15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</row>
    <row r="168" ht="15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</row>
    <row r="169" ht="15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</row>
    <row r="170" ht="15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</row>
    <row r="171" ht="15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</row>
    <row r="172" ht="15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</row>
    <row r="173" ht="15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</row>
    <row r="174" ht="15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</row>
    <row r="175" ht="15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</row>
    <row r="176" ht="15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</row>
    <row r="177" ht="15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</row>
    <row r="178" ht="15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</row>
    <row r="179" ht="15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</row>
    <row r="180" ht="15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</row>
    <row r="181" ht="15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</row>
    <row r="182" ht="15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</row>
    <row r="183" ht="15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</row>
    <row r="184" ht="15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</row>
    <row r="185" ht="15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</row>
    <row r="186" ht="15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</row>
    <row r="187" ht="15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</row>
    <row r="188" ht="15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</row>
    <row r="189" ht="15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</row>
    <row r="190" ht="15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</row>
    <row r="191" ht="15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</row>
    <row r="192" ht="15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</row>
    <row r="193" ht="15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</row>
    <row r="194" ht="15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</row>
    <row r="195" ht="15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</row>
    <row r="196" ht="15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</row>
    <row r="197" ht="15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</row>
    <row r="198" ht="15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</row>
    <row r="199" ht="15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</row>
    <row r="200" ht="15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</row>
    <row r="201" ht="15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</row>
    <row r="202" ht="15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</row>
    <row r="203" ht="15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</row>
    <row r="204" ht="15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</row>
    <row r="205" ht="15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</row>
    <row r="206" ht="15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</row>
    <row r="207" ht="15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</row>
    <row r="208" ht="15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</row>
    <row r="209" ht="15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</row>
    <row r="210" ht="15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</row>
    <row r="211" ht="15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</row>
    <row r="212" ht="15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</row>
    <row r="213" ht="15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</row>
    <row r="214" ht="15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</row>
    <row r="215" ht="15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</row>
    <row r="216" ht="15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</row>
    <row r="217" ht="15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</row>
    <row r="218" ht="15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</row>
    <row r="219" ht="15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</row>
    <row r="220" ht="15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</row>
    <row r="221" ht="15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</row>
    <row r="222" ht="15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</row>
    <row r="223" ht="15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</row>
    <row r="224" ht="15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</row>
    <row r="225" ht="15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</row>
    <row r="226" ht="15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</row>
    <row r="227" ht="15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</row>
    <row r="228" ht="15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</row>
    <row r="229" ht="15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</row>
    <row r="230" ht="15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</row>
    <row r="231" ht="15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</row>
    <row r="232" ht="15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</row>
    <row r="233" ht="15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</row>
    <row r="234" ht="15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</row>
    <row r="235" ht="15.75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</row>
    <row r="236" ht="15.75" customHeigh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</row>
    <row r="237" ht="15.75" customHeigh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</row>
    <row r="238" ht="15.75" customHeigh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</row>
    <row r="239" ht="15.75" customHeigh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</row>
    <row r="240" ht="15.75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</row>
    <row r="241" ht="15.75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</row>
    <row r="242" ht="15.75" customHeigh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</row>
    <row r="243" ht="15.75" customHeigh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</row>
    <row r="244" ht="15.75" customHeigh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</row>
    <row r="245" ht="15.75" customHeigh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</row>
    <row r="246" ht="15.75" customHeigh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</row>
    <row r="247" ht="15.75" customHeigh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</row>
    <row r="248" ht="15.75" customHeigh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</row>
    <row r="249" ht="15.75" customHeigh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</row>
    <row r="250" ht="15.75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</row>
    <row r="251" ht="15.75" customHeigh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</row>
    <row r="252" ht="15.75" customHeigh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</row>
    <row r="253" ht="15.75" customHeight="1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</row>
    <row r="254" ht="15.75" customHeigh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</row>
    <row r="255" ht="15.75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</row>
    <row r="256" ht="15.75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</row>
    <row r="257" ht="15.75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</row>
    <row r="258" ht="15.75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</row>
    <row r="259" ht="15.75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</row>
    <row r="260" ht="15.75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</row>
    <row r="261" ht="15.75" customHeight="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</row>
    <row r="262" ht="15.75" customHeight="1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</row>
    <row r="263" ht="15.75" customHeigh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</row>
    <row r="264" ht="15.75" customHeigh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</row>
    <row r="265" ht="15.75" customHeigh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</row>
    <row r="266" ht="15.75" customHeight="1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</row>
    <row r="267" ht="15.75" customHeight="1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</row>
    <row r="268" ht="15.75" customHeigh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</row>
    <row r="269" ht="15.75" customHeight="1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</row>
    <row r="270" ht="15.75" customHeight="1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</row>
    <row r="271" ht="15.75" customHeight="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</row>
    <row r="272" ht="15.75" customHeight="1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</row>
    <row r="273" ht="15.75" customHeight="1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</row>
    <row r="274" ht="15.75" customHeight="1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</row>
    <row r="275" ht="15.75" customHeight="1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</row>
    <row r="276" ht="15.75" customHeight="1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</row>
    <row r="277" ht="15.7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</row>
    <row r="278" ht="15.7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</row>
    <row r="279" ht="15.75" customHeight="1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</row>
    <row r="280" ht="15.75" customHeight="1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</row>
    <row r="281" ht="15.7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</row>
    <row r="282" ht="15.75" customHeight="1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</row>
    <row r="283" ht="15.75" customHeight="1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</row>
    <row r="284" ht="15.75" customHeight="1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</row>
    <row r="285" ht="15.75" customHeight="1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</row>
    <row r="286" ht="15.75" customHeigh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</row>
    <row r="287" ht="15.75" customHeight="1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</row>
    <row r="288" ht="15.75" customHeight="1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</row>
    <row r="289" ht="15.75" customHeight="1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</row>
    <row r="290" ht="15.75" customHeight="1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</row>
    <row r="291" ht="15.75" customHeight="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</row>
    <row r="292" ht="15.75" customHeight="1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</row>
    <row r="293" ht="15.75" customHeight="1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</row>
    <row r="294" ht="15.75" customHeight="1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</row>
    <row r="295" ht="15.75" customHeigh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</row>
    <row r="296" ht="15.75" customHeight="1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</row>
    <row r="297" ht="15.75" customHeight="1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</row>
    <row r="298" ht="15.75" customHeight="1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</row>
    <row r="299" ht="15.75" customHeight="1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</row>
    <row r="300" ht="15.75" customHeight="1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</row>
    <row r="301" ht="15.75" customHeight="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</row>
    <row r="302" ht="15.75" customHeight="1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</row>
    <row r="303" ht="15.75" customHeight="1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</row>
    <row r="304" ht="15.75" customHeigh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</row>
    <row r="305" ht="15.75" customHeight="1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</row>
    <row r="306" ht="15.75" customHeight="1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</row>
    <row r="307" ht="15.75" customHeight="1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</row>
    <row r="308" ht="15.75" customHeight="1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</row>
    <row r="309" ht="15.75" customHeight="1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</row>
    <row r="310" ht="15.75" customHeight="1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</row>
    <row r="311" ht="15.75" customHeight="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</row>
    <row r="312" ht="15.75" customHeight="1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</row>
    <row r="313" ht="15.75" customHeigh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</row>
    <row r="314" ht="15.75" customHeight="1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</row>
    <row r="315" ht="15.75" customHeight="1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</row>
    <row r="316" ht="15.75" customHeight="1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</row>
    <row r="317" ht="15.75" customHeight="1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</row>
    <row r="318" ht="15.75" customHeight="1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</row>
    <row r="319" ht="15.75" customHeight="1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</row>
    <row r="320" ht="15.75" customHeight="1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</row>
    <row r="321" ht="15.75" customHeight="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</row>
    <row r="322" ht="15.75" customHeigh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</row>
    <row r="323" ht="15.75" customHeight="1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</row>
    <row r="324" ht="15.75" customHeight="1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</row>
    <row r="325" ht="15.75" customHeight="1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</row>
    <row r="326" ht="15.75" customHeight="1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</row>
    <row r="327" ht="15.75" customHeight="1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</row>
    <row r="328" ht="15.75" customHeight="1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</row>
    <row r="329" ht="15.75" customHeight="1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</row>
    <row r="330" ht="15.75" customHeight="1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</row>
    <row r="331" ht="15.75" customHeigh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</row>
    <row r="332" ht="15.75" customHeight="1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</row>
    <row r="333" ht="15.75" customHeight="1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</row>
    <row r="334" ht="15.75" customHeight="1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</row>
    <row r="335" ht="15.75" customHeight="1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</row>
    <row r="336" ht="15.75" customHeight="1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</row>
    <row r="337" ht="15.75" customHeight="1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</row>
    <row r="338" ht="15.75" customHeight="1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</row>
    <row r="339" ht="15.75" customHeight="1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</row>
    <row r="340" ht="15.75" customHeigh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</row>
    <row r="341" ht="15.75" customHeigh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</row>
    <row r="342" ht="15.75" customHeigh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</row>
    <row r="343" ht="15.75" customHeigh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</row>
    <row r="344" ht="15.75" customHeight="1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</row>
    <row r="345" ht="15.75" customHeigh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</row>
    <row r="346" ht="15.75" customHeigh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</row>
    <row r="347" ht="15.75" customHeigh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</row>
    <row r="348" ht="15.75" customHeight="1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</row>
    <row r="349" ht="15.75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</row>
    <row r="350" ht="15.75" customHeigh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</row>
    <row r="351" ht="15.75" customHeight="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</row>
    <row r="352" ht="15.75" customHeight="1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</row>
    <row r="353" ht="15.75" customHeight="1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</row>
    <row r="354" ht="15.75" customHeight="1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</row>
    <row r="355" ht="15.75" customHeight="1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</row>
    <row r="356" ht="15.75" customHeight="1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</row>
    <row r="357" ht="15.75" customHeight="1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</row>
    <row r="358" ht="15.75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</row>
    <row r="359" ht="15.75" customHeight="1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</row>
    <row r="360" ht="15.75" customHeight="1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</row>
    <row r="361" ht="15.75" customHeight="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</row>
    <row r="362" ht="15.75" customHeight="1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</row>
    <row r="363" ht="15.75" customHeight="1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</row>
    <row r="364" ht="15.75" customHeight="1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</row>
    <row r="365" ht="15.75" customHeigh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</row>
    <row r="366" ht="15.75" customHeigh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</row>
    <row r="367" ht="15.75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</row>
    <row r="368" ht="15.75" customHeigh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</row>
    <row r="369" ht="15.75" customHeigh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</row>
    <row r="370" ht="15.75" customHeigh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</row>
    <row r="371" ht="15.75" customHeigh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</row>
    <row r="372" ht="15.75" customHeigh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</row>
    <row r="373" ht="15.75" customHeigh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</row>
    <row r="374" ht="15.75" customHeigh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</row>
    <row r="375" ht="15.75" customHeigh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</row>
    <row r="376" ht="15.75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</row>
    <row r="377" ht="15.75" customHeigh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</row>
    <row r="378" ht="15.75" customHeight="1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</row>
    <row r="379" ht="15.75" customHeight="1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</row>
    <row r="380" ht="15.75" customHeight="1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</row>
    <row r="381" ht="15.75" customHeight="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</row>
    <row r="382" ht="15.75" customHeight="1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</row>
    <row r="383" ht="15.75" customHeight="1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</row>
    <row r="384" ht="15.75" customHeight="1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</row>
    <row r="385" ht="15.75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</row>
    <row r="386" ht="15.75" customHeight="1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</row>
    <row r="387" ht="15.75" customHeight="1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</row>
    <row r="388" ht="15.75" customHeight="1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</row>
    <row r="389" ht="15.75" customHeight="1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</row>
    <row r="390" ht="15.75" customHeight="1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</row>
    <row r="391" ht="15.75" customHeigh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</row>
    <row r="392" ht="15.75" customHeigh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</row>
    <row r="393" ht="15.75" customHeigh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</row>
    <row r="394" ht="15.75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</row>
    <row r="395" ht="15.75" customHeigh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</row>
    <row r="396" ht="15.75" customHeigh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</row>
    <row r="397" ht="15.75" customHeigh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</row>
    <row r="398" ht="15.75" customHeigh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</row>
    <row r="399" ht="15.75" customHeigh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</row>
    <row r="400" ht="15.75" customHeigh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</row>
    <row r="401" ht="15.75" customHeigh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</row>
    <row r="402" ht="15.75" customHeigh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</row>
    <row r="403" ht="15.75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</row>
    <row r="404" ht="15.75" customHeight="1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</row>
    <row r="405" ht="15.75" customHeigh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</row>
    <row r="406" ht="15.75" customHeight="1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</row>
    <row r="407" ht="15.75" customHeight="1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</row>
    <row r="408" ht="15.75" customHeigh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</row>
    <row r="409" ht="15.75" customHeight="1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</row>
    <row r="410" ht="15.75" customHeight="1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</row>
    <row r="411" ht="15.75" customHeigh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</row>
    <row r="412" ht="15.75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</row>
    <row r="413" ht="15.75" customHeigh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</row>
    <row r="414" ht="15.75" customHeigh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</row>
    <row r="415" ht="15.75" customHeigh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</row>
    <row r="416" ht="15.75" customHeight="1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</row>
    <row r="417" ht="15.75" customHeigh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</row>
    <row r="418" ht="15.75" customHeight="1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</row>
    <row r="419" ht="15.75" customHeight="1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</row>
    <row r="420" ht="15.75" customHeigh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</row>
    <row r="421" ht="15.75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</row>
    <row r="422" ht="15.75" customHeight="1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</row>
    <row r="423" ht="15.75" customHeight="1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</row>
    <row r="424" ht="15.75" customHeight="1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</row>
    <row r="425" ht="15.75" customHeight="1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</row>
    <row r="426" ht="15.75" customHeight="1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</row>
    <row r="427" ht="15.75" customHeight="1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</row>
    <row r="428" ht="15.75" customHeight="1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</row>
    <row r="429" ht="15.75" customHeight="1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</row>
    <row r="430" ht="15.75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</row>
    <row r="431" ht="15.75" customHeight="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</row>
    <row r="432" ht="15.75" customHeight="1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</row>
    <row r="433" ht="15.75" customHeight="1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</row>
    <row r="434" ht="15.75" customHeight="1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</row>
    <row r="435" ht="15.75" customHeight="1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</row>
    <row r="436" ht="15.75" customHeight="1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</row>
    <row r="437" ht="15.75" customHeigh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</row>
    <row r="438" ht="15.75" customHeight="1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</row>
    <row r="439" ht="15.75" customHeight="1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</row>
    <row r="440" ht="15.75" customHeight="1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</row>
    <row r="441" ht="15.75" customHeight="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</row>
    <row r="442" ht="15.75" customHeight="1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</row>
    <row r="443" ht="15.75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</row>
    <row r="444" ht="15.75" customHeigh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</row>
    <row r="445" ht="15.75" customHeigh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</row>
    <row r="446" ht="15.75" customHeigh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</row>
    <row r="447" ht="15.75" customHeigh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</row>
    <row r="448" ht="15.75" customHeigh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</row>
    <row r="449" ht="15.75" customHeigh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</row>
    <row r="450" ht="15.75" customHeigh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</row>
    <row r="451" ht="15.75" customHeigh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</row>
    <row r="452" ht="15.75" customHeigh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</row>
    <row r="453" ht="15.75" customHeight="1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</row>
    <row r="454" ht="15.75" customHeight="1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</row>
    <row r="455" ht="15.75" customHeight="1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</row>
    <row r="456" ht="15.75" customHeight="1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</row>
    <row r="457" ht="15.75" customHeight="1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</row>
    <row r="458" ht="15.75" customHeigh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</row>
    <row r="459" ht="15.75" customHeight="1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</row>
    <row r="460" ht="15.75" customHeight="1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</row>
    <row r="461" ht="15.75" customHeight="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</row>
    <row r="462" ht="15.75" customHeight="1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</row>
    <row r="463" ht="15.75" customHeight="1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</row>
    <row r="464" ht="15.75" customHeight="1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</row>
    <row r="465" ht="15.75" customHeight="1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</row>
    <row r="466" ht="15.75" customHeight="1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</row>
    <row r="467" ht="15.75" customHeight="1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</row>
    <row r="468" ht="15.75" customHeigh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</row>
    <row r="469" ht="15.75" customHeigh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</row>
    <row r="470" ht="15.75" customHeigh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</row>
    <row r="471" ht="15.75" customHeigh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</row>
    <row r="472" ht="15.75" customHeight="1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</row>
    <row r="473" ht="15.75" customHeigh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</row>
    <row r="474" ht="15.75" customHeigh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</row>
    <row r="475" ht="15.75" customHeight="1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</row>
    <row r="476" ht="15.75" customHeigh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</row>
    <row r="477" ht="15.75" customHeigh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</row>
    <row r="478" ht="15.75" customHeight="1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</row>
    <row r="479" ht="15.75" customHeigh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</row>
    <row r="480" ht="15.75" customHeight="1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</row>
    <row r="481" ht="15.75" customHeight="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</row>
    <row r="482" ht="15.75" customHeight="1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</row>
    <row r="483" ht="15.75" customHeight="1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</row>
    <row r="484" ht="15.75" customHeight="1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</row>
    <row r="485" ht="15.75" customHeight="1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</row>
    <row r="486" ht="15.75" customHeight="1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</row>
    <row r="487" ht="15.75" customHeigh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</row>
    <row r="488" ht="15.75" customHeight="1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</row>
    <row r="489" ht="15.75" customHeight="1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</row>
    <row r="490" ht="15.75" customHeight="1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</row>
    <row r="491" ht="15.75" customHeight="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</row>
    <row r="492" ht="15.75" customHeigh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</row>
    <row r="493" ht="15.75" customHeight="1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</row>
    <row r="494" ht="15.75" customHeight="1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</row>
    <row r="495" ht="15.75" customHeight="1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</row>
    <row r="496" ht="15.75" customHeight="1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</row>
    <row r="497" ht="15.75" customHeight="1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</row>
    <row r="498" ht="15.75" customHeight="1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</row>
    <row r="499" ht="15.75" customHeight="1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</row>
    <row r="500" ht="15.75" customHeigh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</row>
    <row r="501" ht="15.75" customHeigh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</row>
    <row r="502" ht="15.75" customHeight="1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</row>
    <row r="503" ht="15.75" customHeigh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</row>
    <row r="504" ht="15.75" customHeight="1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</row>
    <row r="505" ht="15.75" customHeight="1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</row>
    <row r="506" ht="15.75" customHeight="1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</row>
    <row r="507" ht="15.75" customHeigh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</row>
    <row r="508" ht="15.75" customHeigh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</row>
    <row r="509" ht="15.75" customHeigh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</row>
    <row r="510" ht="15.75" customHeight="1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</row>
    <row r="511" ht="15.75" customHeigh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</row>
    <row r="512" ht="15.75" customHeigh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</row>
    <row r="513" ht="15.75" customHeight="1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</row>
    <row r="514" ht="15.75" customHeigh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</row>
    <row r="515" ht="15.75" customHeight="1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</row>
    <row r="516" ht="15.75" customHeight="1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</row>
    <row r="517" ht="15.75" customHeigh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</row>
    <row r="518" ht="15.75" customHeigh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</row>
    <row r="519" ht="15.75" customHeigh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</row>
    <row r="520" ht="15.75" customHeight="1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</row>
    <row r="521" ht="15.75" customHeigh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</row>
    <row r="522" ht="15.75" customHeigh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</row>
    <row r="523" ht="15.75" customHeight="1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</row>
    <row r="524" ht="15.75" customHeigh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</row>
    <row r="525" ht="15.75" customHeigh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</row>
    <row r="526" ht="15.75" customHeight="1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</row>
    <row r="527" ht="15.75" customHeigh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</row>
    <row r="528" ht="15.75" customHeight="1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</row>
    <row r="529" ht="15.75" customHeight="1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</row>
    <row r="530" ht="15.75" customHeight="1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</row>
    <row r="531" ht="15.75" customHeight="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</row>
    <row r="532" ht="15.75" customHeight="1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</row>
    <row r="533" ht="15.75" customHeigh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</row>
    <row r="534" ht="15.75" customHeight="1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</row>
    <row r="535" ht="15.75" customHeight="1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</row>
    <row r="536" ht="15.75" customHeight="1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</row>
    <row r="537" ht="15.75" customHeigh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</row>
    <row r="538" ht="15.75" customHeigh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</row>
    <row r="539" ht="15.75" customHeigh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</row>
    <row r="540" ht="15.75" customHeigh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</row>
    <row r="541" ht="15.75" customHeigh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</row>
    <row r="542" ht="15.75" customHeight="1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</row>
    <row r="543" ht="15.75" customHeigh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</row>
    <row r="544" ht="15.75" customHeight="1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</row>
    <row r="545" ht="15.75" customHeight="1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</row>
    <row r="546" ht="15.75" customHeight="1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</row>
    <row r="547" ht="15.75" customHeight="1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</row>
    <row r="548" ht="15.75" customHeight="1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</row>
    <row r="549" ht="15.75" customHeigh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</row>
    <row r="550" ht="15.75" customHeigh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</row>
    <row r="551" ht="15.75" customHeigh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</row>
    <row r="552" ht="15.75" customHeigh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</row>
    <row r="553" ht="15.75" customHeigh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</row>
    <row r="554" ht="15.75" customHeigh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</row>
    <row r="555" ht="15.75" customHeigh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</row>
    <row r="556" ht="15.75" customHeight="1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</row>
    <row r="557" ht="15.75" customHeigh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</row>
    <row r="558" ht="15.75" customHeigh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</row>
    <row r="559" ht="15.75" customHeigh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</row>
    <row r="560" ht="15.75" customHeigh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</row>
    <row r="561" ht="15.75" customHeigh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</row>
    <row r="562" ht="15.75" customHeigh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</row>
    <row r="563" ht="15.75" customHeigh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</row>
    <row r="564" ht="15.75" customHeigh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</row>
    <row r="565" ht="15.75" customHeight="1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</row>
    <row r="566" ht="15.75" customHeigh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</row>
    <row r="567" ht="15.75" customHeigh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</row>
    <row r="568" ht="15.75" customHeight="1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</row>
    <row r="569" ht="15.75" customHeigh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</row>
    <row r="570" ht="15.75" customHeigh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</row>
    <row r="571" ht="15.75" customHeigh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</row>
    <row r="572" ht="15.75" customHeigh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</row>
    <row r="573" ht="15.75" customHeight="1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</row>
    <row r="574" ht="15.75" customHeigh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</row>
    <row r="575" ht="15.75" customHeigh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</row>
    <row r="576" ht="15.75" customHeigh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</row>
    <row r="577" ht="15.75" customHeigh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</row>
    <row r="578" ht="15.75" customHeigh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</row>
    <row r="579" ht="15.75" customHeight="1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</row>
    <row r="580" ht="15.75" customHeigh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</row>
    <row r="581" ht="15.75" customHeigh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</row>
    <row r="582" ht="15.75" customHeight="1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</row>
    <row r="583" ht="15.75" customHeigh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</row>
    <row r="584" ht="15.75" customHeigh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</row>
    <row r="585" ht="15.75" customHeigh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</row>
    <row r="586" ht="15.75" customHeigh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</row>
    <row r="587" ht="15.75" customHeigh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</row>
    <row r="588" ht="15.75" customHeigh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</row>
    <row r="589" ht="15.75" customHeigh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</row>
    <row r="590" ht="15.75" customHeigh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</row>
    <row r="591" ht="15.75" customHeigh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</row>
    <row r="592" ht="15.75" customHeigh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</row>
    <row r="593" ht="15.75" customHeight="1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</row>
    <row r="594" ht="15.75" customHeigh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</row>
    <row r="595" ht="15.75" customHeight="1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</row>
    <row r="596" ht="15.75" customHeigh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</row>
    <row r="597" ht="15.75" customHeigh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</row>
    <row r="598" ht="15.75" customHeigh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</row>
    <row r="599" ht="15.75" customHeigh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</row>
    <row r="600" ht="15.75" customHeigh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</row>
    <row r="601" ht="15.75" customHeight="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</row>
    <row r="602" ht="15.75" customHeigh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</row>
    <row r="603" ht="15.75" customHeigh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</row>
    <row r="604" ht="15.75" customHeight="1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</row>
    <row r="605" ht="15.75" customHeigh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</row>
    <row r="606" ht="15.75" customHeigh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</row>
    <row r="607" ht="15.75" customHeigh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</row>
    <row r="608" ht="15.75" customHeight="1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</row>
    <row r="609" ht="15.75" customHeigh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</row>
    <row r="610" ht="15.75" customHeigh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</row>
    <row r="611" ht="15.75" customHeight="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</row>
    <row r="612" ht="15.75" customHeigh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</row>
    <row r="613" ht="15.75" customHeigh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</row>
    <row r="614" ht="15.75" customHeigh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</row>
    <row r="615" ht="15.75" customHeigh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</row>
    <row r="616" ht="15.75" customHeigh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</row>
    <row r="617" ht="15.75" customHeigh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</row>
    <row r="618" ht="15.75" customHeigh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</row>
    <row r="619" ht="15.75" customHeigh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</row>
    <row r="620" ht="15.75" customHeight="1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</row>
    <row r="621" ht="15.75" customHeigh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</row>
    <row r="622" ht="15.75" customHeight="1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</row>
    <row r="623" ht="15.75" customHeight="1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</row>
    <row r="624" ht="15.75" customHeight="1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</row>
    <row r="625" ht="15.75" customHeight="1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</row>
    <row r="626" ht="15.75" customHeight="1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</row>
    <row r="627" ht="15.75" customHeight="1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</row>
    <row r="628" ht="15.75" customHeight="1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</row>
    <row r="629" ht="15.75" customHeight="1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</row>
    <row r="630" ht="15.75" customHeight="1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</row>
    <row r="631" ht="15.75" customHeight="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</row>
    <row r="632" ht="15.75" customHeight="1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</row>
    <row r="633" ht="15.75" customHeight="1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</row>
    <row r="634" ht="15.75" customHeight="1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</row>
    <row r="635" ht="15.75" customHeigh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</row>
    <row r="636" ht="15.75" customHeigh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</row>
    <row r="637" ht="15.75" customHeigh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</row>
    <row r="638" ht="15.75" customHeigh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</row>
    <row r="639" ht="15.75" customHeigh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</row>
    <row r="640" ht="15.75" customHeigh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</row>
    <row r="641" ht="15.75" customHeigh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</row>
    <row r="642" ht="15.75" customHeigh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</row>
    <row r="643" ht="15.75" customHeigh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</row>
    <row r="644" ht="15.75" customHeigh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</row>
    <row r="645" ht="15.75" customHeigh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</row>
    <row r="646" ht="15.75" customHeigh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</row>
    <row r="647" ht="15.75" customHeigh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</row>
    <row r="648" ht="15.75" customHeigh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</row>
    <row r="649" ht="15.75" customHeigh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</row>
    <row r="650" ht="15.75" customHeight="1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</row>
    <row r="651" ht="15.75" customHeight="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</row>
    <row r="652" ht="15.75" customHeight="1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</row>
    <row r="653" ht="15.75" customHeight="1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</row>
    <row r="654" ht="15.75" customHeigh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</row>
    <row r="655" ht="15.75" customHeight="1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</row>
    <row r="656" ht="15.75" customHeight="1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</row>
    <row r="657" ht="15.75" customHeight="1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</row>
    <row r="658" ht="15.75" customHeight="1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</row>
    <row r="659" ht="15.75" customHeight="1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</row>
    <row r="660" ht="15.75" customHeight="1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</row>
    <row r="661" ht="15.75" customHeight="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</row>
    <row r="662" ht="15.75" customHeigh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</row>
    <row r="663" ht="15.75" customHeight="1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</row>
    <row r="664" ht="15.75" customHeight="1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</row>
    <row r="665" ht="15.75" customHeight="1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</row>
    <row r="666" ht="15.75" customHeight="1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</row>
    <row r="667" ht="15.75" customHeight="1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</row>
    <row r="668" ht="15.75" customHeight="1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</row>
    <row r="669" ht="15.75" customHeight="1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</row>
    <row r="670" ht="15.75" customHeight="1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</row>
    <row r="671" ht="15.75" customHeight="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</row>
    <row r="672" ht="15.75" customHeigh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</row>
    <row r="673" ht="15.75" customHeigh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</row>
    <row r="674" ht="15.75" customHeigh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</row>
    <row r="675" ht="15.75" customHeight="1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</row>
    <row r="676" ht="15.75" customHeight="1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</row>
    <row r="677" ht="15.75" customHeigh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</row>
    <row r="678" ht="15.75" customHeight="1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</row>
    <row r="679" ht="15.75" customHeight="1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</row>
    <row r="680" ht="15.75" customHeight="1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</row>
    <row r="681" ht="15.75" customHeight="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</row>
    <row r="682" ht="15.75" customHeight="1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</row>
    <row r="683" ht="15.75" customHeight="1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</row>
    <row r="684" ht="15.75" customHeigh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</row>
    <row r="685" ht="15.75" customHeight="1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</row>
    <row r="686" ht="15.75" customHeight="1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</row>
    <row r="687" ht="15.75" customHeight="1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</row>
    <row r="688" ht="15.75" customHeight="1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</row>
    <row r="689" ht="15.75" customHeight="1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</row>
    <row r="690" ht="15.75" customHeight="1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</row>
    <row r="691" ht="15.75" customHeight="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</row>
    <row r="692" ht="15.75" customHeight="1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</row>
    <row r="693" ht="15.75" customHeigh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</row>
    <row r="694" ht="15.75" customHeight="1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</row>
    <row r="695" ht="15.75" customHeight="1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</row>
    <row r="696" ht="15.75" customHeight="1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</row>
    <row r="697" ht="15.75" customHeight="1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</row>
    <row r="698" ht="15.75" customHeight="1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</row>
    <row r="699" ht="15.75" customHeight="1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</row>
    <row r="700" ht="15.75" customHeigh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</row>
    <row r="701" ht="15.75" customHeigh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</row>
    <row r="702" ht="15.75" customHeight="1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</row>
    <row r="703" ht="15.75" customHeigh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</row>
    <row r="704" ht="15.75" customHeigh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</row>
    <row r="705" ht="15.75" customHeigh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</row>
    <row r="706" ht="15.75" customHeigh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</row>
    <row r="707" ht="15.75" customHeight="1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</row>
    <row r="708" ht="15.75" customHeigh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</row>
    <row r="709" ht="15.75" customHeigh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</row>
    <row r="710" ht="15.75" customHeigh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</row>
    <row r="711" ht="15.75" customHeight="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</row>
    <row r="712" ht="15.75" customHeigh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</row>
    <row r="713" ht="15.75" customHeigh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</row>
    <row r="714" ht="15.75" customHeigh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</row>
    <row r="715" ht="15.75" customHeigh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</row>
    <row r="716" ht="15.75" customHeigh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</row>
    <row r="717" ht="15.75" customHeight="1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</row>
    <row r="718" ht="15.75" customHeigh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</row>
    <row r="719" ht="15.75" customHeigh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</row>
    <row r="720" ht="15.75" customHeigh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</row>
    <row r="721" ht="15.75" customHeight="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</row>
    <row r="722" ht="15.75" customHeigh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</row>
    <row r="723" ht="15.75" customHeigh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</row>
    <row r="724" ht="15.75" customHeight="1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</row>
    <row r="725" ht="15.75" customHeight="1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</row>
    <row r="726" ht="15.75" customHeight="1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</row>
    <row r="727" ht="15.75" customHeigh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</row>
    <row r="728" ht="15.75" customHeigh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</row>
    <row r="729" ht="15.75" customHeigh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</row>
    <row r="730" ht="15.75" customHeigh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</row>
    <row r="731" ht="15.75" customHeigh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</row>
    <row r="732" ht="15.75" customHeigh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</row>
    <row r="733" ht="15.75" customHeigh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</row>
    <row r="734" ht="15.75" customHeigh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</row>
    <row r="735" ht="15.75" customHeigh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</row>
    <row r="736" ht="15.75" customHeigh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</row>
    <row r="737" ht="15.75" customHeigh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</row>
    <row r="738" ht="15.75" customHeigh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</row>
    <row r="739" ht="15.75" customHeigh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</row>
    <row r="740" ht="15.75" customHeigh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</row>
    <row r="741" ht="15.75" customHeigh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</row>
    <row r="742" ht="15.75" customHeigh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</row>
    <row r="743" ht="15.75" customHeight="1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</row>
    <row r="744" ht="15.75" customHeight="1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</row>
    <row r="745" ht="15.75" customHeight="1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</row>
    <row r="746" ht="15.75" customHeigh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</row>
    <row r="747" ht="15.75" customHeight="1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</row>
    <row r="748" ht="15.75" customHeigh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</row>
    <row r="749" ht="15.75" customHeigh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</row>
    <row r="750" ht="15.75" customHeigh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</row>
    <row r="751" ht="15.75" customHeigh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</row>
    <row r="752" ht="15.75" customHeigh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</row>
    <row r="753" ht="15.75" customHeigh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</row>
    <row r="754" ht="15.75" customHeigh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</row>
    <row r="755" ht="15.75" customHeigh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</row>
    <row r="756" ht="15.75" customHeigh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</row>
    <row r="757" ht="15.75" customHeigh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</row>
    <row r="758" ht="15.75" customHeigh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</row>
    <row r="759" ht="15.75" customHeight="1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</row>
    <row r="760" ht="15.75" customHeigh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</row>
    <row r="761" ht="15.75" customHeigh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</row>
    <row r="762" ht="15.75" customHeigh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</row>
    <row r="763" ht="15.75" customHeigh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</row>
    <row r="764" ht="15.75" customHeigh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</row>
    <row r="765" ht="15.75" customHeigh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</row>
    <row r="766" ht="15.75" customHeigh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</row>
    <row r="767" ht="15.75" customHeigh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</row>
    <row r="768" ht="15.75" customHeigh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</row>
    <row r="769" ht="15.75" customHeigh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</row>
    <row r="770" ht="15.75" customHeigh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</row>
    <row r="771" ht="15.75" customHeight="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</row>
    <row r="772" ht="15.75" customHeigh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</row>
    <row r="773" ht="15.75" customHeigh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</row>
    <row r="774" ht="15.75" customHeight="1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</row>
    <row r="775" ht="15.75" customHeigh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</row>
    <row r="776" ht="15.75" customHeigh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</row>
    <row r="777" ht="15.75" customHeigh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</row>
    <row r="778" ht="15.75" customHeigh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</row>
    <row r="779" ht="15.75" customHeigh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</row>
    <row r="780" ht="15.75" customHeigh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</row>
    <row r="781" ht="15.75" customHeight="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</row>
    <row r="782" ht="15.75" customHeigh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</row>
    <row r="783" ht="15.75" customHeigh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</row>
    <row r="784" ht="15.75" customHeigh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</row>
    <row r="785" ht="15.75" customHeight="1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</row>
    <row r="786" ht="15.75" customHeigh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</row>
    <row r="787" ht="15.75" customHeigh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</row>
    <row r="788" ht="15.75" customHeigh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</row>
    <row r="789" ht="15.75" customHeight="1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</row>
    <row r="790" ht="15.75" customHeigh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</row>
    <row r="791" ht="15.75" customHeigh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</row>
    <row r="792" ht="15.75" customHeight="1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</row>
    <row r="793" ht="15.75" customHeigh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</row>
    <row r="794" ht="15.75" customHeigh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</row>
    <row r="795" ht="15.75" customHeigh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</row>
    <row r="796" ht="15.75" customHeigh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</row>
    <row r="797" ht="15.75" customHeigh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</row>
    <row r="798" ht="15.75" customHeigh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</row>
    <row r="799" ht="15.75" customHeigh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</row>
    <row r="800" ht="15.75" customHeigh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</row>
    <row r="801" ht="15.75" customHeigh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</row>
    <row r="802" ht="15.75" customHeigh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</row>
    <row r="803" ht="15.75" customHeight="1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</row>
    <row r="804" ht="15.75" customHeigh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</row>
    <row r="805" ht="15.75" customHeight="1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</row>
    <row r="806" ht="15.75" customHeight="1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</row>
    <row r="807" ht="15.75" customHeight="1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</row>
    <row r="808" ht="15.75" customHeigh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</row>
    <row r="809" ht="15.75" customHeight="1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</row>
    <row r="810" ht="15.75" customHeigh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</row>
    <row r="811" ht="15.75" customHeigh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</row>
    <row r="812" ht="15.75" customHeigh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</row>
    <row r="813" ht="15.75" customHeigh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</row>
    <row r="814" ht="15.75" customHeight="1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</row>
    <row r="815" ht="15.75" customHeigh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</row>
    <row r="816" ht="15.75" customHeigh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</row>
    <row r="817" ht="15.75" customHeigh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</row>
    <row r="818" ht="15.75" customHeigh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</row>
    <row r="819" ht="15.75" customHeigh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</row>
    <row r="820" ht="15.75" customHeigh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</row>
    <row r="821" ht="15.75" customHeigh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</row>
    <row r="822" ht="15.75" customHeight="1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</row>
    <row r="823" ht="15.75" customHeigh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</row>
    <row r="824" ht="15.75" customHeigh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</row>
    <row r="825" ht="15.75" customHeight="1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</row>
    <row r="826" ht="15.75" customHeigh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</row>
    <row r="827" ht="15.75" customHeigh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</row>
    <row r="828" ht="15.75" customHeigh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</row>
    <row r="829" ht="15.75" customHeight="1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</row>
    <row r="830" ht="15.75" customHeigh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</row>
    <row r="831" ht="15.75" customHeigh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</row>
    <row r="832" ht="15.75" customHeigh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</row>
    <row r="833" ht="15.75" customHeight="1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</row>
    <row r="834" ht="15.75" customHeigh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</row>
    <row r="835" ht="15.75" customHeigh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</row>
    <row r="836" ht="15.75" customHeight="1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</row>
    <row r="837" ht="15.75" customHeigh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</row>
    <row r="838" ht="15.75" customHeigh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</row>
    <row r="839" ht="15.75" customHeigh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</row>
    <row r="840" ht="15.75" customHeigh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</row>
    <row r="841" ht="15.75" customHeigh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</row>
    <row r="842" ht="15.75" customHeight="1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</row>
    <row r="843" ht="15.75" customHeigh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</row>
    <row r="844" ht="15.75" customHeight="1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</row>
    <row r="845" ht="15.75" customHeight="1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</row>
    <row r="846" ht="15.75" customHeight="1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</row>
    <row r="847" ht="15.75" customHeigh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</row>
    <row r="848" ht="15.75" customHeigh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</row>
    <row r="849" ht="15.75" customHeigh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</row>
    <row r="850" ht="15.75" customHeigh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</row>
    <row r="851" ht="15.75" customHeigh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</row>
    <row r="852" ht="15.75" customHeigh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</row>
    <row r="853" ht="15.75" customHeigh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</row>
    <row r="854" ht="15.75" customHeight="1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</row>
    <row r="855" ht="15.75" customHeight="1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</row>
    <row r="856" ht="15.75" customHeight="1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</row>
    <row r="857" ht="15.75" customHeigh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</row>
    <row r="858" ht="15.75" customHeigh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</row>
    <row r="859" ht="15.75" customHeigh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</row>
    <row r="860" ht="15.75" customHeigh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</row>
    <row r="861" ht="15.75" customHeight="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</row>
    <row r="862" ht="15.75" customHeigh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</row>
    <row r="863" ht="15.75" customHeigh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</row>
    <row r="864" ht="15.75" customHeight="1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</row>
    <row r="865" ht="15.75" customHeight="1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</row>
    <row r="866" ht="15.75" customHeigh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</row>
    <row r="867" ht="15.75" customHeigh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</row>
    <row r="868" ht="15.75" customHeigh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</row>
    <row r="869" ht="15.75" customHeigh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</row>
    <row r="870" ht="15.75" customHeigh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</row>
    <row r="871" ht="15.75" customHeigh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</row>
    <row r="872" ht="15.75" customHeigh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</row>
    <row r="873" ht="15.75" customHeigh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</row>
    <row r="874" ht="15.75" customHeigh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</row>
    <row r="875" ht="15.75" customHeigh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</row>
    <row r="876" ht="15.75" customHeigh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</row>
    <row r="877" ht="15.75" customHeigh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</row>
    <row r="878" ht="15.75" customHeigh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</row>
    <row r="879" ht="15.75" customHeigh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</row>
    <row r="880" ht="15.75" customHeigh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</row>
    <row r="881" ht="15.75" customHeigh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</row>
    <row r="882" ht="15.75" customHeigh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</row>
    <row r="883" ht="15.75" customHeigh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</row>
    <row r="884" ht="15.75" customHeigh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</row>
    <row r="885" ht="15.75" customHeigh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</row>
    <row r="886" ht="15.75" customHeigh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</row>
    <row r="887" ht="15.75" customHeigh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</row>
    <row r="888" ht="15.75" customHeigh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</row>
    <row r="889" ht="15.75" customHeigh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</row>
    <row r="890" ht="15.75" customHeigh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</row>
    <row r="891" ht="15.75" customHeigh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</row>
    <row r="892" ht="15.75" customHeigh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</row>
    <row r="893" ht="15.75" customHeigh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</row>
    <row r="894" ht="15.75" customHeigh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</row>
    <row r="895" ht="15.75" customHeight="1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</row>
    <row r="896" ht="15.75" customHeigh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</row>
    <row r="897" ht="15.75" customHeigh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</row>
    <row r="898" ht="15.75" customHeigh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</row>
    <row r="899" ht="15.75" customHeigh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</row>
    <row r="900" ht="15.75" customHeigh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</row>
    <row r="901" ht="15.75" customHeigh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</row>
    <row r="902" ht="15.75" customHeight="1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</row>
    <row r="903" ht="15.75" customHeight="1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</row>
    <row r="904" ht="15.75" customHeigh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</row>
    <row r="905" ht="15.75" customHeigh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</row>
    <row r="906" ht="15.75" customHeigh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</row>
    <row r="907" ht="15.75" customHeigh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</row>
    <row r="908" ht="15.75" customHeigh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</row>
    <row r="909" ht="15.75" customHeight="1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</row>
    <row r="910" ht="15.75" customHeigh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</row>
    <row r="911" ht="15.75" customHeigh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</row>
    <row r="912" ht="15.75" customHeigh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</row>
    <row r="913" ht="15.75" customHeigh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</row>
    <row r="914" ht="15.75" customHeigh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</row>
    <row r="915" ht="15.75" customHeigh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</row>
    <row r="916" ht="15.75" customHeigh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</row>
    <row r="917" ht="15.75" customHeigh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</row>
    <row r="918" ht="15.75" customHeigh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</row>
    <row r="919" ht="15.75" customHeigh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</row>
    <row r="920" ht="15.75" customHeight="1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</row>
    <row r="921" ht="15.75" customHeigh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</row>
    <row r="922" ht="15.75" customHeigh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</row>
    <row r="923" ht="15.75" customHeigh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</row>
    <row r="924" ht="15.75" customHeigh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</row>
    <row r="925" ht="15.75" customHeigh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</row>
    <row r="926" ht="15.75" customHeigh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</row>
    <row r="927" ht="15.75" customHeigh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</row>
    <row r="928" ht="15.75" customHeigh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</row>
    <row r="929" ht="15.75" customHeigh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</row>
    <row r="930" ht="15.75" customHeigh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</row>
    <row r="931" ht="15.75" customHeigh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</row>
    <row r="932" ht="15.75" customHeigh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</row>
    <row r="933" ht="15.75" customHeigh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</row>
    <row r="934" ht="15.75" customHeigh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</row>
    <row r="935" ht="15.75" customHeigh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</row>
    <row r="936" ht="15.75" customHeigh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</row>
    <row r="937" ht="15.75" customHeigh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</row>
    <row r="938" ht="15.75" customHeigh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</row>
    <row r="939" ht="15.75" customHeigh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</row>
    <row r="940" ht="15.75" customHeigh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</row>
    <row r="941" ht="15.75" customHeight="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</row>
    <row r="942" ht="15.75" customHeigh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</row>
    <row r="943" ht="15.75" customHeigh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</row>
    <row r="944" ht="15.75" customHeigh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</row>
    <row r="945" ht="15.75" customHeight="1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</row>
    <row r="946" ht="15.75" customHeigh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</row>
    <row r="947" ht="15.75" customHeigh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</row>
    <row r="948" ht="15.75" customHeigh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</row>
    <row r="949" ht="15.75" customHeigh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</row>
    <row r="950" ht="15.75" customHeigh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</row>
    <row r="951" ht="15.75" customHeigh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</row>
    <row r="952" ht="15.75" customHeigh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</row>
    <row r="953" ht="15.75" customHeigh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</row>
    <row r="954" ht="15.75" customHeigh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</row>
    <row r="955" ht="15.75" customHeigh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</row>
    <row r="956" ht="15.75" customHeigh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</row>
    <row r="957" ht="15.75" customHeigh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</row>
    <row r="958" ht="15.75" customHeigh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</row>
    <row r="959" ht="15.75" customHeigh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</row>
    <row r="960" ht="15.75" customHeigh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</row>
    <row r="961" ht="15.75" customHeigh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</row>
    <row r="962" ht="15.75" customHeigh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</row>
    <row r="963" ht="15.75" customHeigh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</row>
    <row r="964" ht="15.75" customHeigh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</row>
    <row r="965" ht="15.75" customHeigh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</row>
    <row r="966" ht="15.75" customHeigh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</row>
    <row r="967" ht="15.75" customHeigh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</row>
    <row r="968" ht="15.75" customHeigh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</row>
    <row r="969" ht="15.75" customHeigh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</row>
    <row r="970" ht="15.75" customHeigh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</row>
    <row r="971" ht="15.75" customHeigh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</row>
    <row r="972" ht="15.75" customHeigh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</row>
    <row r="973" ht="15.75" customHeigh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</row>
    <row r="974" ht="15.75" customHeigh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</row>
    <row r="975" ht="15.75" customHeight="1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</row>
    <row r="976" ht="15.75" customHeigh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</row>
    <row r="977" ht="15.75" customHeigh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</row>
    <row r="978" ht="15.75" customHeigh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</row>
    <row r="979" ht="15.75" customHeigh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</row>
    <row r="980" ht="15.75" customHeigh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</row>
    <row r="981" ht="15.75" customHeigh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</row>
    <row r="982" ht="15.75" customHeigh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</row>
    <row r="983" ht="15.75" customHeight="1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</row>
    <row r="984" ht="15.75" customHeigh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</row>
    <row r="985" ht="15.75" customHeigh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</row>
    <row r="986" ht="15.75" customHeight="1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</row>
    <row r="987" ht="15.75" customHeight="1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</row>
    <row r="988" ht="15.75" customHeight="1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</row>
    <row r="989" ht="15.75" customHeight="1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</row>
    <row r="990" ht="15.75" customHeight="1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</row>
    <row r="991" ht="15.75" customHeight="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</row>
    <row r="992" ht="15.75" customHeight="1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</row>
    <row r="993" ht="15.75" customHeight="1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</row>
    <row r="994" ht="15.75" customHeight="1">
      <c r="A994" s="164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</row>
    <row r="995" ht="15.75" customHeight="1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30.57"/>
    <col customWidth="1" min="3" max="3" width="13.43"/>
  </cols>
  <sheetData>
    <row r="1">
      <c r="B1" s="60"/>
    </row>
    <row r="2">
      <c r="B2" s="60" t="s">
        <v>323</v>
      </c>
      <c r="D2" s="60"/>
      <c r="F2" s="60"/>
    </row>
    <row r="3">
      <c r="B3" s="60"/>
      <c r="D3" s="60"/>
      <c r="F3" s="22"/>
    </row>
    <row r="4">
      <c r="B4" s="282" t="s">
        <v>324</v>
      </c>
      <c r="C4" s="127"/>
      <c r="D4" s="127"/>
      <c r="E4" s="127"/>
      <c r="F4" s="52"/>
    </row>
    <row r="5">
      <c r="B5" s="283"/>
      <c r="C5" s="22"/>
      <c r="D5" s="60"/>
      <c r="F5" s="129"/>
    </row>
    <row r="6">
      <c r="B6" s="284" t="s">
        <v>325</v>
      </c>
      <c r="C6" s="22"/>
      <c r="D6" s="22"/>
      <c r="F6" s="129"/>
    </row>
    <row r="7">
      <c r="B7" s="285" t="s">
        <v>326</v>
      </c>
      <c r="C7" s="22">
        <v>30000.0</v>
      </c>
      <c r="D7" s="22"/>
      <c r="E7" s="22"/>
      <c r="F7" s="129"/>
      <c r="K7" s="69"/>
      <c r="L7" s="69"/>
      <c r="M7" s="69"/>
    </row>
    <row r="8">
      <c r="B8" s="132"/>
      <c r="C8" s="22"/>
      <c r="D8" s="22"/>
      <c r="F8" s="129"/>
    </row>
    <row r="9">
      <c r="B9" s="132"/>
      <c r="F9" s="129"/>
    </row>
    <row r="10">
      <c r="B10" s="282" t="s">
        <v>135</v>
      </c>
      <c r="C10" s="267">
        <f>SUM(C5:C9)</f>
        <v>30000</v>
      </c>
      <c r="D10" s="62"/>
      <c r="E10" s="62"/>
      <c r="F10" s="134"/>
    </row>
    <row r="13">
      <c r="B13" s="286" t="s">
        <v>327</v>
      </c>
      <c r="C13" s="52"/>
    </row>
    <row r="14">
      <c r="B14" s="132" t="s">
        <v>328</v>
      </c>
      <c r="C14" s="129">
        <v>10000.0</v>
      </c>
    </row>
    <row r="15">
      <c r="B15" s="132" t="s">
        <v>329</v>
      </c>
      <c r="C15" s="129">
        <v>4000.0</v>
      </c>
    </row>
    <row r="16">
      <c r="B16" s="287" t="s">
        <v>330</v>
      </c>
      <c r="C16" s="288">
        <v>5000.0</v>
      </c>
      <c r="F16" s="138"/>
    </row>
    <row r="17">
      <c r="B17" s="133" t="s">
        <v>138</v>
      </c>
      <c r="C17" s="134">
        <f>SUM(C14:C16)</f>
        <v>19000</v>
      </c>
    </row>
    <row r="20">
      <c r="B20" s="289" t="s">
        <v>331</v>
      </c>
      <c r="C20" s="127"/>
      <c r="D20" s="52"/>
      <c r="E20" s="22"/>
      <c r="F20" s="22"/>
      <c r="G20" s="22"/>
    </row>
    <row r="21" ht="15.75" customHeight="1">
      <c r="B21" s="113" t="s">
        <v>332</v>
      </c>
      <c r="D21" s="290">
        <v>19000.0</v>
      </c>
      <c r="E21" s="22"/>
      <c r="K21" s="85"/>
      <c r="L21" s="85"/>
      <c r="M21" s="85"/>
      <c r="N21" s="85"/>
    </row>
    <row r="22" ht="15.75" customHeight="1">
      <c r="B22" s="113" t="s">
        <v>333</v>
      </c>
      <c r="D22" s="290">
        <v>9000.0</v>
      </c>
      <c r="E22" s="22"/>
      <c r="K22" s="85"/>
      <c r="L22" s="291"/>
      <c r="M22" s="85"/>
      <c r="N22" s="85"/>
    </row>
    <row r="23" ht="15.75" customHeight="1">
      <c r="B23" s="113" t="s">
        <v>334</v>
      </c>
      <c r="D23" s="129">
        <f>265*4</f>
        <v>1060</v>
      </c>
      <c r="E23" s="22"/>
      <c r="K23" s="85"/>
      <c r="L23" s="85"/>
      <c r="M23" s="85"/>
      <c r="N23" s="85"/>
    </row>
    <row r="24" ht="15.75" customHeight="1">
      <c r="B24" s="119" t="s">
        <v>335</v>
      </c>
      <c r="C24" s="62"/>
      <c r="D24" s="134">
        <v>250.0</v>
      </c>
      <c r="E24" s="22"/>
      <c r="K24" s="85"/>
      <c r="L24" s="85"/>
      <c r="M24" s="85"/>
      <c r="N24" s="85"/>
    </row>
    <row r="25" ht="15.75" customHeight="1">
      <c r="B25" s="133" t="s">
        <v>138</v>
      </c>
      <c r="C25" s="62"/>
      <c r="D25" s="134">
        <f>SUM(D21:D24)</f>
        <v>29310</v>
      </c>
      <c r="K25" s="85"/>
      <c r="L25" s="114"/>
      <c r="M25" s="85"/>
      <c r="N25" s="122"/>
    </row>
    <row r="26" ht="15.75" customHeight="1">
      <c r="K26" s="85"/>
      <c r="L26" s="116"/>
      <c r="M26" s="85"/>
      <c r="N26" s="292"/>
    </row>
    <row r="27" ht="15.75" customHeight="1">
      <c r="B27" s="22" t="s">
        <v>336</v>
      </c>
      <c r="K27" s="85"/>
      <c r="L27" s="116"/>
      <c r="M27" s="85"/>
      <c r="N27" s="292"/>
    </row>
    <row r="28" ht="15.75" customHeight="1">
      <c r="B28" s="22" t="s">
        <v>337</v>
      </c>
      <c r="K28" s="85"/>
      <c r="L28" s="292"/>
      <c r="M28" s="85"/>
      <c r="N28" s="292"/>
    </row>
    <row r="29" ht="15.75" customHeight="1">
      <c r="K29" s="85"/>
      <c r="L29" s="292"/>
      <c r="M29" s="85"/>
      <c r="N29" s="292"/>
    </row>
    <row r="30" ht="15.75" customHeight="1">
      <c r="B30" s="282" t="s">
        <v>338</v>
      </c>
      <c r="C30" s="52"/>
      <c r="K30" s="85"/>
      <c r="L30" s="85"/>
      <c r="M30" s="85"/>
      <c r="N30" s="292"/>
    </row>
    <row r="31" ht="15.75" customHeight="1">
      <c r="B31" s="132" t="s">
        <v>339</v>
      </c>
      <c r="C31" s="293">
        <f>(330000/52*47)</f>
        <v>298269.2308</v>
      </c>
      <c r="K31" s="85"/>
      <c r="L31" s="85"/>
      <c r="M31" s="85"/>
      <c r="N31" s="292"/>
    </row>
    <row r="32" ht="15.75" customHeight="1">
      <c r="B32" s="133" t="s">
        <v>340</v>
      </c>
      <c r="C32" s="134">
        <v>15000.0</v>
      </c>
      <c r="D32" s="22" t="s">
        <v>341</v>
      </c>
      <c r="K32" s="85"/>
      <c r="L32" s="85"/>
      <c r="M32" s="85"/>
      <c r="N32" s="292"/>
    </row>
    <row r="33" ht="15.75" customHeight="1">
      <c r="B33" s="133" t="s">
        <v>342</v>
      </c>
      <c r="C33" s="294">
        <f>SUM(C31:C32)</f>
        <v>313269.2308</v>
      </c>
      <c r="K33" s="85"/>
      <c r="L33" s="85"/>
      <c r="M33" s="85"/>
      <c r="N33" s="292"/>
    </row>
    <row r="34" ht="15.75" customHeight="1">
      <c r="B34" s="132"/>
      <c r="C34" s="129"/>
      <c r="D34" s="22"/>
      <c r="K34" s="85"/>
      <c r="L34" s="85"/>
      <c r="M34" s="85"/>
      <c r="N34" s="292"/>
    </row>
    <row r="35" ht="15.75" customHeight="1">
      <c r="B35" s="295" t="s">
        <v>343</v>
      </c>
      <c r="C35" s="134">
        <v>3500.0</v>
      </c>
      <c r="D35" s="22" t="s">
        <v>344</v>
      </c>
      <c r="K35" s="85"/>
      <c r="L35" s="85"/>
      <c r="M35" s="85"/>
      <c r="N35" s="292"/>
    </row>
    <row r="36" ht="15.75" customHeight="1">
      <c r="K36" s="85"/>
      <c r="L36" s="85"/>
      <c r="M36" s="85"/>
      <c r="N36" s="292"/>
    </row>
    <row r="37" ht="15.75" customHeight="1">
      <c r="K37" s="85"/>
      <c r="L37" s="85"/>
      <c r="M37" s="85"/>
      <c r="N37" s="292"/>
    </row>
    <row r="38" ht="15.75" customHeight="1">
      <c r="K38" s="122"/>
      <c r="L38" s="116"/>
      <c r="M38" s="85"/>
      <c r="N38" s="296"/>
    </row>
    <row r="39" ht="15.75" customHeight="1">
      <c r="K39" s="85"/>
      <c r="L39" s="85"/>
      <c r="M39" s="85"/>
      <c r="N39" s="85"/>
    </row>
    <row r="40" ht="15.75" customHeight="1">
      <c r="K40" s="85"/>
      <c r="L40" s="85"/>
      <c r="M40" s="85"/>
      <c r="N40" s="29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35.14"/>
  </cols>
  <sheetData>
    <row r="2">
      <c r="A2" s="298" t="s">
        <v>345</v>
      </c>
    </row>
    <row r="3">
      <c r="A3" s="22" t="s">
        <v>346</v>
      </c>
      <c r="C3" s="22">
        <v>559.0</v>
      </c>
      <c r="F3" s="69"/>
    </row>
    <row r="4">
      <c r="A4" s="60" t="s">
        <v>347</v>
      </c>
      <c r="C4" s="60">
        <v>747.0</v>
      </c>
      <c r="F4" s="60"/>
      <c r="H4" s="60"/>
    </row>
    <row r="5">
      <c r="A5" s="60" t="s">
        <v>348</v>
      </c>
      <c r="B5" s="22"/>
      <c r="C5" s="60">
        <v>941.0</v>
      </c>
      <c r="D5" s="22"/>
      <c r="G5" s="69"/>
    </row>
    <row r="6">
      <c r="A6" s="60" t="s">
        <v>349</v>
      </c>
      <c r="C6" s="60">
        <v>2973.0</v>
      </c>
    </row>
    <row r="7">
      <c r="A7" s="60" t="s">
        <v>350</v>
      </c>
      <c r="C7" s="60">
        <v>919.0</v>
      </c>
    </row>
    <row r="8">
      <c r="A8" s="60" t="s">
        <v>351</v>
      </c>
      <c r="C8" s="60">
        <v>392.0</v>
      </c>
    </row>
    <row r="9">
      <c r="A9" s="60" t="s">
        <v>352</v>
      </c>
      <c r="C9" s="60">
        <v>910.0</v>
      </c>
    </row>
    <row r="10">
      <c r="A10" s="61" t="s">
        <v>353</v>
      </c>
      <c r="B10" s="13"/>
      <c r="C10" s="61">
        <v>10000.0</v>
      </c>
    </row>
    <row r="11">
      <c r="A11" s="299" t="s">
        <v>135</v>
      </c>
      <c r="B11" s="127"/>
      <c r="C11" s="299">
        <f>SUM(C3:C10)</f>
        <v>17441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2021-11-04T08:43:36Z</dcterms:created>
  <dc:creator>Sjoerd Boersma</dc:creator>
</cp:coreProperties>
</file>