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sjett 2024" sheetId="1" r:id="rId4"/>
    <sheet state="visible" name="Arrangement" sheetId="2" r:id="rId5"/>
    <sheet state="visible" name="Medlemskontigent" sheetId="3" r:id="rId6"/>
    <sheet state="visible" name="Treningsbudsjett" sheetId="4" r:id="rId7"/>
    <sheet state="visible" name="Driftstilskudd" sheetId="5" r:id="rId8"/>
    <sheet state="visible" name="Forsikring" sheetId="6" r:id="rId9"/>
    <sheet state="visible" name="Kurs" sheetId="7" r:id="rId10"/>
    <sheet state="visible" name="Øvrige " sheetId="8" r:id="rId11"/>
  </sheets>
  <definedNames>
    <definedName name="feriepengesats">'Budsjett 2024'!$B$6</definedName>
    <definedName hidden="1" name="Google_Sheet_Link_1169062627">feriepengesats</definedName>
  </definedNames>
  <calcPr/>
  <extLst>
    <ext uri="GoogleSheetsCustomDataVersion2">
      <go:sheetsCustomData xmlns:go="http://customooxmlschemas.google.com/" r:id="rId12" roundtripDataChecksum="DZdzuXDg39wgIN1zMzgYM06vk9Rx3m9d/yzrjhBxyxs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9">
      <text>
        <t xml:space="preserve">======
ID#AAABFBkGqUQ
Erika Berle    (2024-01-27 13:51:07)
Denne inkluderer feriepenger for trenere og kursholdere</t>
      </text>
    </comment>
    <comment authorId="0" ref="B46">
      <text>
        <t xml:space="preserve">======
ID#AAABAqO9YyA
Bratte Rogalands Venner    (2023-11-17 08:51:53)
se arket "Øvrige" for oversikt</t>
      </text>
    </comment>
  </commentList>
  <extLst>
    <ext uri="GoogleSheetsCustomDataVersion2">
      <go:sheetsCustomData xmlns:go="http://customooxmlschemas.google.com/" r:id="rId1" roundtripDataSignature="AMtx7mjDgy4/LBKgmE6VKzXGyE8MjXwl6g=="/>
    </ext>
  </extLst>
</comments>
</file>

<file path=xl/sharedStrings.xml><?xml version="1.0" encoding="utf-8"?>
<sst xmlns="http://schemas.openxmlformats.org/spreadsheetml/2006/main" count="321" uniqueCount="286">
  <si>
    <t>Budsjett 2024</t>
  </si>
  <si>
    <t>Bratte Rogalands Venner</t>
  </si>
  <si>
    <t>Forutsettninger for budsjettet ligger beskrevet i fanene</t>
  </si>
  <si>
    <t xml:space="preserve">Feriepengesats: </t>
  </si>
  <si>
    <t>Regnskap 2023</t>
  </si>
  <si>
    <t>2023 Budsjett</t>
  </si>
  <si>
    <r>
      <rPr>
        <rFont val="Calibri"/>
        <color rgb="FF000000"/>
        <sz val="10.0"/>
      </rPr>
      <t>   </t>
    </r>
    <r>
      <rPr>
        <rFont val="Calibri"/>
        <b/>
        <color rgb="FF000000"/>
        <sz val="10.0"/>
      </rPr>
      <t>Driftsinntekter</t>
    </r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</si>
  <si>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Salgsinntekter</t>
    </r>
  </si>
  <si>
    <t>         3100 Treningsavgift</t>
  </si>
  <si>
    <t>         3200 Medlemskontingent</t>
  </si>
  <si>
    <t>         3201 Kurs</t>
  </si>
  <si>
    <t>         3210 Grasrotandel</t>
  </si>
  <si>
    <t>Basert på tall fra de siste tre årene</t>
  </si>
  <si>
    <t>         3250 Utstyr</t>
  </si>
  <si>
    <t>         3260 Utleie av utstyr</t>
  </si>
  <si>
    <t>Utleie av pads og støtte av nettfører (derav penger fra de andre klubbene som bruker nettførersystemene våre)</t>
  </si>
  <si>
    <t xml:space="preserve">         3270 Salg av klær</t>
  </si>
  <si>
    <t>Salg av skjorter, gensere og caps</t>
  </si>
  <si>
    <t>         3280 Billetter</t>
  </si>
  <si>
    <t>Alle arrangement med inntekter (utenom årsfest) føres her</t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</si>
  <si>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Salgsinntekter</t>
    </r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</si>
  <si>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Annen driftsinntekt</t>
    </r>
  </si>
  <si>
    <t>         3440 Tilskudd</t>
  </si>
  <si>
    <t>Se egen fane "Driftstilskudd"</t>
  </si>
  <si>
    <t>         3500 Årsfest</t>
  </si>
  <si>
    <t>Estimert basert på regnskap 2022</t>
  </si>
  <si>
    <t>         3550 Gaver</t>
  </si>
  <si>
    <t>Gavestøtte til klubben. Regnskap 2023 er høyt pga gave fra Sandnes Sparebank</t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</si>
  <si>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Annen driftsinntekt</t>
    </r>
  </si>
  <si>
    <r>
      <rPr>
        <rFont val="Calibri"/>
        <color rgb="FF000000"/>
        <sz val="10.0"/>
      </rPr>
      <t>   </t>
    </r>
    <r>
      <rPr>
        <rFont val="Calibri"/>
        <b/>
        <color rgb="FF000000"/>
        <sz val="10.0"/>
      </rPr>
      <t>Driftsinntekter</t>
    </r>
  </si>
  <si>
    <t>Estimert tall 2021 ligger for å beregne momsrefusjon</t>
  </si>
  <si>
    <r>
      <rPr>
        <rFont val="Calibri"/>
        <color rgb="FF000000"/>
        <sz val="10.0"/>
      </rPr>
      <t>   </t>
    </r>
    <r>
      <rPr>
        <rFont val="Calibri"/>
        <b/>
        <color rgb="FF000000"/>
        <sz val="10.0"/>
      </rPr>
      <t>Driftskostnader</t>
    </r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</si>
  <si>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Varekostnad</t>
    </r>
  </si>
  <si>
    <t>         4010 Kurs</t>
  </si>
  <si>
    <t>Utgifter i tilknytning til kurs, som kursavgift for nye BRV instruktører</t>
  </si>
  <si>
    <t>         4210 Treningsutgifter</t>
  </si>
  <si>
    <t xml:space="preserve">Se arket "treningsbudsjett" for detaljer. </t>
  </si>
  <si>
    <t>         4220 Konkurranse, reiser</t>
  </si>
  <si>
    <t>Satt av til å dekke reise/opphold for trener på ca 6 konkurranser i året</t>
  </si>
  <si>
    <t>         4230 Sosiale utgifter, møter samlinger</t>
  </si>
  <si>
    <t>40.000 til utgifter knyttet til sosiale arrangement (foredragsholder, leie lokale, film ol.). Resterende beløp kan disponeres til årsfest</t>
  </si>
  <si>
    <t>         4500 Årsfest</t>
  </si>
  <si>
    <t xml:space="preserve">Klubben støtter med 20000 i tillegg til det som hentes fra billett inntekter. Utgiftene vi gikk over i 2023 tas fra overskuddet på post 4230 som arangmentkomiteen disponerer til tilsvarende formål. </t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</si>
  <si>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Varekostnad</t>
    </r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</si>
  <si>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Lønnskostnad</t>
    </r>
  </si>
  <si>
    <t xml:space="preserve">         5000 Lønn til ansatte </t>
  </si>
  <si>
    <t>De 15.000 i året til IPS (pensjon) er nå flyttet til denne posten etter innspill fra regnskapsfører (fra post 5990)</t>
  </si>
  <si>
    <t>         5010 Timelønn (trenere og interne kursholdere ink. feriepenger)</t>
  </si>
  <si>
    <t xml:space="preserve">Lønnsutgifter for kurs, trenere og vikarer, inkluderer feriepenger </t>
  </si>
  <si>
    <t>         5020 Feriepenger (12%) (kun fastansatte)</t>
  </si>
  <si>
    <t>         5400 Arbeidsgiveravgift (14.1%) (kun fastansatte)</t>
  </si>
  <si>
    <t>Beregnes av lønn ansatte + feriepenger ansatte</t>
  </si>
  <si>
    <t>         5990 Annen personalkostnad (pensjon)</t>
  </si>
  <si>
    <t>Pensjonsordning til DL fjernet av regnskapsføringshensyn. De 15.000 blir nå ført sammen med lønn i post 5000</t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</si>
  <si>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Lønnskostnad</t>
    </r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</si>
  <si>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Annen driftskostnad</t>
    </r>
  </si>
  <si>
    <t>         6300 Leie lokale</t>
  </si>
  <si>
    <t>Til feks årsmøte</t>
  </si>
  <si>
    <t>         6420 Leie datasystemer</t>
  </si>
  <si>
    <t>Serverplass brv.no, mail og nettførere samt regnskapssystem og nettbutikk, Google One konto for tilstrekkelig kapasitet på BRVs skylagring og epost</t>
  </si>
  <si>
    <t>         6620 Reparasjon og vedlikehold av utstyr</t>
  </si>
  <si>
    <t>se treningsbudsjett (inkl i utstyrsbudsjettet)</t>
  </si>
  <si>
    <t>         6700 Regnskapshonorar</t>
  </si>
  <si>
    <t>Prisen økter med 5% i 2024, men antall timer vi bruker på regnskap har gått ned det siste året, derfor reduseres summen på denne posten</t>
  </si>
  <si>
    <t>         6800 Kontorrekvisita</t>
  </si>
  <si>
    <t>         6810 Data/EDB-kostnad</t>
  </si>
  <si>
    <t>Til innkjøp av ny pc og evt. skjerm da forige pc er over 5 år gammel</t>
  </si>
  <si>
    <t>         6860 Møte, kurs, oppdatering o.l.</t>
  </si>
  <si>
    <t>Se arket "Øvrige". Kompetanseheving fast ansatte, utgifter til dugnader og styremøter.</t>
  </si>
  <si>
    <t>         6870 Medlemsskap NKF</t>
  </si>
  <si>
    <t>Basert på 850 medlemmer, 20kr hodet</t>
  </si>
  <si>
    <t>         6900 Telefon</t>
  </si>
  <si>
    <t xml:space="preserve">Telefon Stian + kontantkort BRV telefon. </t>
  </si>
  <si>
    <t>         7300 Utstyr</t>
  </si>
  <si>
    <t>Tau, taubrems og sko til treningsgruppene og til kursbruk. Også drill og utstyr til utebruk</t>
  </si>
  <si>
    <t>         7305 Diverse utgifter</t>
  </si>
  <si>
    <t>Småinnkjøp av DL</t>
  </si>
  <si>
    <t>         7310 Bolting</t>
  </si>
  <si>
    <t>Bolting i 2024 finansieres av midler fra sandnes sparebank fra 2023. Det ble handlet bolter for 82928kr i 2023, hvorav 57480 kr (744 bolt/hengere, 76 bolter, 151 ringhengere) er lagerført ved utgangen av 2023.</t>
  </si>
  <si>
    <t>         7320 Reklamekostnad</t>
  </si>
  <si>
    <t>BRV caps 2024</t>
  </si>
  <si>
    <t>         7420 Gave, fradragsberettiget</t>
  </si>
  <si>
    <t>Julegave trenere og folkekort senioransvarlig</t>
  </si>
  <si>
    <t>         7500 Forsikringspremie</t>
  </si>
  <si>
    <t>         7770 Bank og kortgebyrer</t>
  </si>
  <si>
    <t>økte utgifter her</t>
  </si>
  <si>
    <r>
      <rPr>
        <rFont val="Calibri"/>
        <color rgb="FF000000"/>
        <sz val="10.0"/>
      </rPr>
      <t>      </t>
    </r>
    <r>
      <rPr>
        <rFont val="Calibri"/>
        <b/>
        <color rgb="FF000000"/>
        <sz val="10.0"/>
      </rPr>
      <t>Annen driftskostnad</t>
    </r>
  </si>
  <si>
    <r>
      <rPr>
        <rFont val="Calibri"/>
        <color rgb="FF000000"/>
        <sz val="10.0"/>
      </rPr>
      <t>   </t>
    </r>
    <r>
      <rPr>
        <rFont val="Calibri"/>
        <b/>
        <color rgb="FF000000"/>
        <sz val="10.0"/>
      </rPr>
      <t>Driftskostnader</t>
    </r>
  </si>
  <si>
    <t>Driftsresultat</t>
  </si>
  <si>
    <t xml:space="preserve">Vi setter av en sum til arrangementkomiteen kan disponere, unntaket er årsfesten som er en egen budsjettpost. Overskudd fra denne psoten kan disponeres av arrangementkomiteen til årsfest ved behov. </t>
  </si>
  <si>
    <t>Denne posten omfavner ting som</t>
  </si>
  <si>
    <t>Klatresamlinger</t>
  </si>
  <si>
    <t>Leie av lokale til årsmøte går på egen post 6300 - leie lokaler</t>
  </si>
  <si>
    <t>Klubbkvelder</t>
  </si>
  <si>
    <t>Workshops</t>
  </si>
  <si>
    <t>Foredrag</t>
  </si>
  <si>
    <t>Filmvisning</t>
  </si>
  <si>
    <t>Dugnader</t>
  </si>
  <si>
    <t>Det er stipulert 20000 i egenandel til billetter/avgift for div arrangement som går opp mot denne utgiftsposten. Dvs vi forventer å bruke 20000 på arrangement (totale utgifter)</t>
  </si>
  <si>
    <t xml:space="preserve">Medlemskontigent </t>
  </si>
  <si>
    <t>Pris</t>
  </si>
  <si>
    <t xml:space="preserve">Antall </t>
  </si>
  <si>
    <t>sum</t>
  </si>
  <si>
    <t>Voksen 18+ år</t>
  </si>
  <si>
    <t>Barn 0-17 år</t>
  </si>
  <si>
    <t>Betalingsgebyr</t>
  </si>
  <si>
    <t>Sum totalt</t>
  </si>
  <si>
    <t>Gruppene aug 23 - juni 24</t>
  </si>
  <si>
    <t>Antall Uker</t>
  </si>
  <si>
    <t>Uketimer</t>
  </si>
  <si>
    <t>Trener 200</t>
  </si>
  <si>
    <t>Trener 220</t>
  </si>
  <si>
    <t>Totale lønnsutgifter</t>
  </si>
  <si>
    <t>Antall deltakere</t>
  </si>
  <si>
    <t>Semesteravgift hele 2022</t>
  </si>
  <si>
    <t>Sum Inntekt</t>
  </si>
  <si>
    <t>Differanse</t>
  </si>
  <si>
    <t>timepris</t>
  </si>
  <si>
    <t>Tau ungdom</t>
  </si>
  <si>
    <t xml:space="preserve">Buldring Ungdom </t>
  </si>
  <si>
    <t xml:space="preserve">Buldring 3. til 4. klasse </t>
  </si>
  <si>
    <t>Konkpakken</t>
  </si>
  <si>
    <t>Konkurransegruppe</t>
  </si>
  <si>
    <t>Støtteordninger konkgruppen 2023</t>
  </si>
  <si>
    <t>Buldring 5. til 6. klasse</t>
  </si>
  <si>
    <t xml:space="preserve">Paraklatring </t>
  </si>
  <si>
    <t>Dekning av konkavgift konkgruppen:</t>
  </si>
  <si>
    <t>Kombi tau og buldring ungdom</t>
  </si>
  <si>
    <t>Deltakere</t>
  </si>
  <si>
    <t xml:space="preserve">Seniorklatring </t>
  </si>
  <si>
    <t>Snitt deltakelse</t>
  </si>
  <si>
    <t>6 timer adm arbeid i året for konkgruppen (Fredric)</t>
  </si>
  <si>
    <t>Refusjon per konk</t>
  </si>
  <si>
    <t>Trenermøte</t>
  </si>
  <si>
    <t>konker i året</t>
  </si>
  <si>
    <t>Total oversikt inntekter og kostnader for treningstilbudet</t>
  </si>
  <si>
    <t>Overslag</t>
  </si>
  <si>
    <t>Trening utomhus (SiS/Air)</t>
  </si>
  <si>
    <t>Inntekt grupper fratrukket lønnskostnad</t>
  </si>
  <si>
    <t>Drop inn pris snitt</t>
  </si>
  <si>
    <t xml:space="preserve">Alle kostnader relatert til trening: </t>
  </si>
  <si>
    <t>Antall ganger</t>
  </si>
  <si>
    <t>Fakturagebyr</t>
  </si>
  <si>
    <t>Konkpakken (se boks høyre)</t>
  </si>
  <si>
    <t>Grunnlag for beregning av treningsinntekter og utgifter:</t>
  </si>
  <si>
    <t>Vikarbudsjett og lønnskompensasjon konktrenere på konkeise</t>
  </si>
  <si>
    <t>Vikarbudsjett 8000 samt lønnsompensasjon for trenere på reise 3000kr x 6 konker (totalt 18.000kr)</t>
  </si>
  <si>
    <t>Sum konkpakke</t>
  </si>
  <si>
    <t>Satser inkl feriepenger</t>
  </si>
  <si>
    <t xml:space="preserve">Refusjon trenerreiser </t>
  </si>
  <si>
    <t>Dekker reise og opphold under konkhelg for trener</t>
  </si>
  <si>
    <t>Timelønn 1</t>
  </si>
  <si>
    <t>Utstyr</t>
  </si>
  <si>
    <t xml:space="preserve">Tau, sko, seler, og taubrems til de gruppene som trenger det </t>
  </si>
  <si>
    <t>Timelønn 2</t>
  </si>
  <si>
    <t>Resåling klatresko</t>
  </si>
  <si>
    <t>Sko til barne og paragrupper</t>
  </si>
  <si>
    <t>Kompetanseheving</t>
  </si>
  <si>
    <t xml:space="preserve">Trenerkurs og klatreinstruktørkurs, samt kontingent for nasjonalklubbsamlign eller trenersamling om det er aktuelt </t>
  </si>
  <si>
    <t>Sats semesteravgift</t>
  </si>
  <si>
    <t>oppjustering 2024</t>
  </si>
  <si>
    <t>Julegave trenere</t>
  </si>
  <si>
    <t xml:space="preserve">Tau 13-17 </t>
  </si>
  <si>
    <t>Mat/drikke trenermøte</t>
  </si>
  <si>
    <t>SUM idretten i BRV</t>
  </si>
  <si>
    <t xml:space="preserve">Buldring 5. til 6. klasse </t>
  </si>
  <si>
    <t>Konkurarnsegruppens trenerreiser, konkpakke og øvrige utgifter som ikke dekkes av egenandel fra treningsavgift finaniseres av inntekter fra breddegruppene i tråd med prinsipper fra idretten om at bredden er med å støtter opp om toppen</t>
  </si>
  <si>
    <t>Paraklatring</t>
  </si>
  <si>
    <t>Seniorgruppe</t>
  </si>
  <si>
    <t xml:space="preserve">Tilleggsinfo og forventet utbetaling basert på fjoråret </t>
  </si>
  <si>
    <t>Lokale aktivitetsmidler (NIF)</t>
  </si>
  <si>
    <t xml:space="preserve">Utbetalt slutten av november 2022. </t>
  </si>
  <si>
    <t>Kommunale driftsmidler (via Idrettsrådet)</t>
  </si>
  <si>
    <t>Halve i juni og halve i des 2022</t>
  </si>
  <si>
    <t>Tilskudd fast ansatt fra kommunen (daglig leder 60% stilling)</t>
  </si>
  <si>
    <t>Søkes på innen 1. november året før, tildeles/utbetales i mars</t>
  </si>
  <si>
    <t>Momskompensasjon</t>
  </si>
  <si>
    <t>Utbetales desember. Sum baserer seg på X antall prosent (8% de siste årene) av våre totale driftskostnad (lønn inkl) = kompensasjon utbetalt. Prosentsatsen kan variere fra år til år</t>
  </si>
  <si>
    <t>Tilskudd NKF mentorordning 2024</t>
  </si>
  <si>
    <t>Søkes på når vi avtaler tildeling med de andre klubbene</t>
  </si>
  <si>
    <t>Sum</t>
  </si>
  <si>
    <t>Grasrotandel</t>
  </si>
  <si>
    <t xml:space="preserve">Grasrotandel avhenger av antall mennesker som velger oss som mottaker når de spiller på Norsk Tipping. Det blir utbetalt januar, mai og september. </t>
  </si>
  <si>
    <t>Oversikt over generert andelsbeløp og utbetaling https://www.norsk-tipping.no/grasrotandelen/din-mottaker/986175830</t>
  </si>
  <si>
    <t>Omtrentlig beløp de siste årene har vært 13.000</t>
  </si>
  <si>
    <t>Lokale aktivitetsmidler (LAM)</t>
  </si>
  <si>
    <t>Antall</t>
  </si>
  <si>
    <t>Sats</t>
  </si>
  <si>
    <t xml:space="preserve">ungdom f.o.m. 13 – t.o.m. 19 år </t>
  </si>
  <si>
    <t>barn f.o.m. 6 – t.o.m 12</t>
  </si>
  <si>
    <t>SUM</t>
  </si>
  <si>
    <t>Kommunale driftmidler</t>
  </si>
  <si>
    <t>barn og ungdom 6-25</t>
  </si>
  <si>
    <t>Detaljer om nåværende forsikring per januar 2023</t>
  </si>
  <si>
    <t>Grunnpris og gjenstående sum fra tidligere avtaleperiode</t>
  </si>
  <si>
    <t>Avviklet fom 25.10.23</t>
  </si>
  <si>
    <t xml:space="preserve">Ansvar for styret </t>
  </si>
  <si>
    <t>Utstyrsforsikring/eiendeler</t>
  </si>
  <si>
    <t>Ansvarsforsikring</t>
  </si>
  <si>
    <t>Dugnad, organisasjoner, klubb/korps (770 medlemmer)</t>
  </si>
  <si>
    <t>kriminalitet</t>
  </si>
  <si>
    <t>personal- med antallsoppgave</t>
  </si>
  <si>
    <t>Rettshjelpsforsikring</t>
  </si>
  <si>
    <t>Kurs solgt av BRV</t>
  </si>
  <si>
    <t>* etter betalingsløsningen har tatt sin andel på litt over en 1%</t>
  </si>
  <si>
    <t>Kurstype</t>
  </si>
  <si>
    <t>Antall kurs</t>
  </si>
  <si>
    <t>Lønn per instruktør</t>
  </si>
  <si>
    <t>Utgifter Totalt</t>
  </si>
  <si>
    <t>Antall deltagere Medlem</t>
  </si>
  <si>
    <t>Antall deltagere Ikke medlem</t>
  </si>
  <si>
    <t>Inntekt Totalt</t>
  </si>
  <si>
    <t>Netto*</t>
  </si>
  <si>
    <t>Brattkort</t>
  </si>
  <si>
    <t>Lønnsatser 2023</t>
  </si>
  <si>
    <t>Inne til ute</t>
  </si>
  <si>
    <t>Sats hovedinstruktør</t>
  </si>
  <si>
    <t>Sats medinstruktør</t>
  </si>
  <si>
    <t>Tradkurs innføring 1</t>
  </si>
  <si>
    <t>Brattkort/oppfølgingskurs</t>
  </si>
  <si>
    <t>Tradkurs viderekommende 2</t>
  </si>
  <si>
    <t>om de ikke har sport 1 utdanning eller høyere</t>
  </si>
  <si>
    <t>Klatreinstruktør inne</t>
  </si>
  <si>
    <t>Tradkurs/kameratredning</t>
  </si>
  <si>
    <t>Oppfriskningskurs</t>
  </si>
  <si>
    <t>Klatreinstr. inne</t>
  </si>
  <si>
    <t>Kameratredningskurs</t>
  </si>
  <si>
    <t>Timer utbetalt inkl forberedelse og etterarbeid per instruktør</t>
  </si>
  <si>
    <t>Grunnlag for inntektsberegning - deltakerpris</t>
  </si>
  <si>
    <t>Medlem 13-18 år</t>
  </si>
  <si>
    <t>Ikke-medlem 13-18 år</t>
  </si>
  <si>
    <t>Medlem over 18 år</t>
  </si>
  <si>
    <t>Ikke medlem over 18 år</t>
  </si>
  <si>
    <t>Fastpris Medlem alle aldre</t>
  </si>
  <si>
    <t>Fastpris Ikke medlem alle aldre</t>
  </si>
  <si>
    <t>Notat</t>
  </si>
  <si>
    <t>Tradkurs type 1</t>
  </si>
  <si>
    <t>Tradkurs type 2</t>
  </si>
  <si>
    <t>Inkl lån av BRVs tradutstyr</t>
  </si>
  <si>
    <t>Nytt kurs 2023</t>
  </si>
  <si>
    <t>de i gult er ikke lagt inn i tripletex/nettbutikk</t>
  </si>
  <si>
    <t>Mentorordning 2024</t>
  </si>
  <si>
    <t xml:space="preserve">pengestøtten fra NKF ligger under Tilskudd. Har lagt inn 13.000 nå </t>
  </si>
  <si>
    <t>Kompetanseheving instruktører - BRV dekker kursavgiften (ev mer)</t>
  </si>
  <si>
    <t>Utgifter</t>
  </si>
  <si>
    <t>Inntekter</t>
  </si>
  <si>
    <t>Type kurs</t>
  </si>
  <si>
    <t>antall</t>
  </si>
  <si>
    <t>kursavgift/støtte</t>
  </si>
  <si>
    <t>Lønn</t>
  </si>
  <si>
    <t>Deltakeravgift</t>
  </si>
  <si>
    <t>Instruktør høyfjell</t>
  </si>
  <si>
    <t>timelønn 220 inkl feriepengesats</t>
  </si>
  <si>
    <t>pris</t>
  </si>
  <si>
    <t>Sport 1</t>
  </si>
  <si>
    <t>timer per økt (inkl kjøring 1 time)</t>
  </si>
  <si>
    <t>Kurslærer KII</t>
  </si>
  <si>
    <t>Antall økter</t>
  </si>
  <si>
    <t>Sum deltakeravgift</t>
  </si>
  <si>
    <t>Sum lønnutgifter (inkl kjøring)</t>
  </si>
  <si>
    <t>Klatreinstruktør inne og Trenerkurs går på treningsbudsjettet</t>
  </si>
  <si>
    <t>Tau 1600 kr stk x 3</t>
  </si>
  <si>
    <t xml:space="preserve">Differanse: </t>
  </si>
  <si>
    <t>Grigri + skrubiner x 3</t>
  </si>
  <si>
    <t>Denne dekkes av støtte fra NKF</t>
  </si>
  <si>
    <t>Kortslynger har vi nok av</t>
  </si>
  <si>
    <t>Sum utstyrsutgifter</t>
  </si>
  <si>
    <t>Totalte utgifter</t>
  </si>
  <si>
    <t>Øvrige utgifter i perioden</t>
  </si>
  <si>
    <t>7310 bolting</t>
  </si>
  <si>
    <t>Ingen spesifikke søknader på bordet per des 2023</t>
  </si>
  <si>
    <t>Budsjett generell boltestøtte 2024</t>
  </si>
  <si>
    <t>Rebolting</t>
  </si>
  <si>
    <t>De resterende ankerne på Dale</t>
  </si>
  <si>
    <t>6860 Møte, kurs, oppdatering o.l.</t>
  </si>
  <si>
    <t>Styremøter</t>
  </si>
  <si>
    <t>Dugnadsmat</t>
  </si>
  <si>
    <t>Kompetanseheving fast ansatt</t>
  </si>
  <si>
    <t>6420 Leie datasystemer</t>
  </si>
  <si>
    <t>Regnskapssystem tripletex</t>
  </si>
  <si>
    <t>* Serverplass brv.no, mail og nettførere</t>
  </si>
  <si>
    <t>lagt inn med noe margin 11.12</t>
  </si>
  <si>
    <t>Nettbutikk Tidypay</t>
  </si>
  <si>
    <t>Google One konto for BRVs skylagring og epost</t>
  </si>
  <si>
    <t xml:space="preserve">* omtrent 7200 av disse legger vi ut for andre klubber som benytter seg av nettførersystemene våre, og ber de refundere. </t>
  </si>
  <si>
    <t>Dette er lagt inn som inntekt på post 3260 "Utleie av utstyr"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</si>
</sst>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&quot;kr&quot;"/>
    <numFmt numFmtId="165" formatCode="0.0"/>
  </numFmts>
  <fonts count="36">
    <font>
      <sz val="11.0"/>
      <color rgb="FF000000"/>
      <name val="Calibri"/>
      <scheme val="minor"/>
    </font>
    <font>
      <b/>
      <sz val="15.0"/>
      <color rgb="FF000000"/>
      <name val="Calibri"/>
    </font>
    <font>
      <color theme="1"/>
      <name val="Calibri"/>
    </font>
    <font>
      <b/>
      <sz val="12.0"/>
      <color rgb="FF000000"/>
      <name val="Calibri"/>
    </font>
    <font>
      <sz val="14.0"/>
      <color theme="1"/>
      <name val="Calibri"/>
    </font>
    <font>
      <b/>
      <color theme="1"/>
      <name val="Calibri"/>
    </font>
    <font>
      <sz val="11.0"/>
      <color theme="1"/>
      <name val="Calibri"/>
    </font>
    <font>
      <i/>
      <color theme="1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sz val="11.0"/>
      <color rgb="FF000000"/>
      <name val="Calibri"/>
    </font>
    <font>
      <sz val="10.0"/>
      <color rgb="FF000000"/>
      <name val="Arial"/>
    </font>
    <font>
      <sz val="11.0"/>
      <color rgb="FF000000"/>
      <name val="Inconsolata"/>
    </font>
    <font>
      <b/>
      <sz val="11.0"/>
      <color rgb="FF000000"/>
      <name val="Calibri"/>
    </font>
    <font>
      <sz val="10.0"/>
      <color theme="1"/>
      <name val="Calibri"/>
    </font>
    <font>
      <i/>
      <sz val="10.0"/>
      <color rgb="FF000000"/>
      <name val="Calibri"/>
    </font>
    <font>
      <b/>
      <i/>
      <sz val="10.0"/>
      <color rgb="FF000000"/>
      <name val="Calibri"/>
    </font>
    <font>
      <b/>
      <sz val="10.0"/>
      <color theme="1"/>
      <name val="Calibri"/>
    </font>
    <font>
      <i/>
      <sz val="10.0"/>
      <color theme="1"/>
      <name val="Calibri"/>
    </font>
    <font>
      <strike/>
      <sz val="10.0"/>
      <color rgb="FF000000"/>
      <name val="Calibri"/>
    </font>
    <font>
      <strike/>
      <sz val="10.0"/>
      <color theme="1"/>
      <name val="Calibri"/>
    </font>
    <font>
      <color rgb="FF222222"/>
      <name val="Arial"/>
    </font>
    <font>
      <b/>
      <i/>
      <sz val="10.0"/>
      <color theme="1"/>
      <name val="Calibri"/>
    </font>
    <font>
      <i/>
      <sz val="11.0"/>
      <color rgb="FF000000"/>
      <name val="Calibri"/>
    </font>
    <font>
      <color theme="1"/>
      <name val="Calibri"/>
      <scheme val="minor"/>
    </font>
    <font>
      <b/>
      <i/>
      <color theme="1"/>
      <name val="Calibri"/>
    </font>
    <font>
      <b/>
      <sz val="11.0"/>
      <color theme="1"/>
      <name val="Calibri"/>
    </font>
    <font>
      <strike/>
      <sz val="11.0"/>
      <color theme="1"/>
      <name val="Calibri"/>
    </font>
    <font>
      <strike/>
      <color theme="1"/>
      <name val="Calibri"/>
    </font>
    <font>
      <i/>
      <sz val="11.0"/>
      <color theme="1"/>
      <name val="Calibri"/>
    </font>
    <font>
      <i/>
      <sz val="11.0"/>
      <color theme="1"/>
      <name val="Arial"/>
    </font>
    <font>
      <color theme="1"/>
      <name val="Arial"/>
    </font>
    <font>
      <b/>
      <color theme="1"/>
      <name val="Arial"/>
    </font>
    <font>
      <sz val="11.0"/>
      <color rgb="FF1F1F1F"/>
      <name val="Calibri"/>
    </font>
    <font>
      <b/>
      <sz val="15.0"/>
      <color theme="1"/>
      <name val="Calibri"/>
    </font>
    <font>
      <sz val="1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</fills>
  <borders count="2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ck">
        <color rgb="FF000000"/>
      </bottom>
    </border>
    <border>
      <bottom style="thin">
        <color rgb="FF000000"/>
      </bottom>
    </border>
    <border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thin">
        <color rgb="FF000000"/>
      </top>
      <bottom style="double">
        <color rgb="FF000000"/>
      </bottom>
    </border>
    <border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double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227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vertical="center"/>
    </xf>
    <xf borderId="0" fillId="2" fontId="2" numFmtId="3" xfId="0" applyAlignment="1" applyFill="1" applyFont="1" applyNumberFormat="1">
      <alignment vertical="center"/>
    </xf>
    <xf borderId="0" fillId="0" fontId="2" numFmtId="0" xfId="0" applyAlignment="1" applyFont="1">
      <alignment vertical="center"/>
    </xf>
    <xf borderId="0" fillId="0" fontId="3" numFmtId="49" xfId="0" applyAlignment="1" applyFont="1" applyNumberFormat="1">
      <alignment vertical="center"/>
    </xf>
    <xf borderId="0" fillId="2" fontId="4" numFmtId="3" xfId="0" applyAlignment="1" applyFont="1" applyNumberForma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1" fillId="0" fontId="7" numFmtId="0" xfId="0" applyAlignment="1" applyBorder="1" applyFont="1">
      <alignment vertical="center"/>
    </xf>
    <xf borderId="2" fillId="2" fontId="7" numFmtId="10" xfId="0" applyAlignment="1" applyBorder="1" applyFont="1" applyNumberFormat="1">
      <alignment vertical="center"/>
    </xf>
    <xf borderId="0" fillId="3" fontId="8" numFmtId="0" xfId="0" applyAlignment="1" applyFill="1" applyFont="1">
      <alignment horizontal="left" shrinkToFit="0" vertical="center" wrapText="1"/>
    </xf>
    <xf borderId="0" fillId="0" fontId="8" numFmtId="0" xfId="0" applyAlignment="1" applyFont="1">
      <alignment vertical="center"/>
    </xf>
    <xf borderId="0" fillId="0" fontId="3" numFmtId="49" xfId="0" applyAlignment="1" applyFont="1" applyNumberFormat="1">
      <alignment shrinkToFit="0" vertical="center" wrapText="1"/>
    </xf>
    <xf borderId="0" fillId="2" fontId="3" numFmtId="3" xfId="0" applyAlignment="1" applyFont="1" applyNumberFormat="1">
      <alignment shrinkToFit="0" vertical="center" wrapText="1"/>
    </xf>
    <xf borderId="0" fillId="0" fontId="2" numFmtId="0" xfId="0" applyFont="1"/>
    <xf borderId="0" fillId="2" fontId="9" numFmtId="3" xfId="0" applyAlignment="1" applyFont="1" applyNumberFormat="1">
      <alignment horizontal="right" shrinkToFit="0" vertical="center" wrapText="1"/>
    </xf>
    <xf borderId="0" fillId="0" fontId="9" numFmtId="0" xfId="0" applyAlignment="1" applyFont="1">
      <alignment horizontal="right" shrinkToFit="0" vertical="center" wrapText="1"/>
    </xf>
    <xf borderId="0" fillId="3" fontId="9" numFmtId="0" xfId="0" applyAlignment="1" applyFont="1">
      <alignment horizontal="right" shrinkToFit="0" vertical="center" wrapText="1"/>
    </xf>
    <xf borderId="0" fillId="0" fontId="8" numFmtId="0" xfId="0" applyAlignment="1" applyFont="1">
      <alignment shrinkToFit="0" vertical="center" wrapText="1"/>
    </xf>
    <xf borderId="0" fillId="2" fontId="10" numFmtId="3" xfId="0" applyAlignment="1" applyFont="1" applyNumberFormat="1">
      <alignment shrinkToFit="0" vertical="center" wrapText="1"/>
    </xf>
    <xf borderId="0" fillId="0" fontId="10" numFmtId="0" xfId="0" applyAlignment="1" applyFont="1">
      <alignment shrinkToFit="0" vertical="center" wrapText="1"/>
    </xf>
    <xf borderId="3" fillId="0" fontId="8" numFmtId="0" xfId="0" applyAlignment="1" applyBorder="1" applyFont="1">
      <alignment shrinkToFit="0" vertical="center" wrapText="1"/>
    </xf>
    <xf borderId="3" fillId="0" fontId="10" numFmtId="3" xfId="0" applyAlignment="1" applyBorder="1" applyFont="1" applyNumberFormat="1">
      <alignment shrinkToFit="0" vertical="center" wrapText="1"/>
    </xf>
    <xf borderId="0" fillId="0" fontId="8" numFmtId="3" xfId="0" applyAlignment="1" applyFont="1" applyNumberFormat="1">
      <alignment shrinkToFit="0" vertical="center" wrapText="1"/>
    </xf>
    <xf borderId="0" fillId="0" fontId="8" numFmtId="3" xfId="0" applyAlignment="1" applyFont="1" applyNumberFormat="1">
      <alignment readingOrder="0" shrinkToFit="0" vertical="center" wrapText="1"/>
    </xf>
    <xf borderId="0" fillId="0" fontId="8" numFmtId="3" xfId="0" applyAlignment="1" applyFont="1" applyNumberFormat="1">
      <alignment horizontal="right" readingOrder="0" shrinkToFit="0" vertical="center" wrapText="1"/>
    </xf>
    <xf borderId="4" fillId="0" fontId="8" numFmtId="0" xfId="0" applyAlignment="1" applyBorder="1" applyFont="1">
      <alignment vertical="center"/>
    </xf>
    <xf borderId="4" fillId="0" fontId="9" numFmtId="3" xfId="0" applyAlignment="1" applyBorder="1" applyFont="1" applyNumberFormat="1">
      <alignment shrinkToFit="0" vertical="center" wrapText="1"/>
    </xf>
    <xf borderId="0" fillId="0" fontId="2" numFmtId="0" xfId="0" applyAlignment="1" applyFont="1">
      <alignment readingOrder="0" vertical="center"/>
    </xf>
    <xf borderId="0" fillId="0" fontId="11" numFmtId="0" xfId="0" applyAlignment="1" applyFont="1">
      <alignment readingOrder="0"/>
    </xf>
    <xf borderId="5" fillId="0" fontId="8" numFmtId="0" xfId="0" applyAlignment="1" applyBorder="1" applyFont="1">
      <alignment vertical="center"/>
    </xf>
    <xf borderId="5" fillId="0" fontId="9" numFmtId="3" xfId="0" applyAlignment="1" applyBorder="1" applyFont="1" applyNumberFormat="1">
      <alignment shrinkToFit="0" vertical="center" wrapText="1"/>
    </xf>
    <xf borderId="3" fillId="0" fontId="8" numFmtId="3" xfId="0" applyAlignment="1" applyBorder="1" applyFont="1" applyNumberFormat="1">
      <alignment shrinkToFit="0" vertical="center" wrapText="1"/>
    </xf>
    <xf borderId="0" fillId="2" fontId="8" numFmtId="0" xfId="0" applyAlignment="1" applyFont="1">
      <alignment vertical="center"/>
    </xf>
    <xf borderId="0" fillId="0" fontId="6" numFmtId="0" xfId="0" applyAlignment="1" applyFont="1">
      <alignment readingOrder="0" vertical="center"/>
    </xf>
    <xf borderId="0" fillId="3" fontId="12" numFmtId="0" xfId="0" applyAlignment="1" applyFont="1">
      <alignment vertical="center"/>
    </xf>
    <xf borderId="5" fillId="0" fontId="9" numFmtId="0" xfId="0" applyAlignment="1" applyBorder="1" applyFont="1">
      <alignment vertical="center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vertical="center"/>
    </xf>
    <xf borderId="6" fillId="0" fontId="2" numFmtId="0" xfId="0" applyBorder="1" applyFont="1"/>
    <xf borderId="0" fillId="0" fontId="2" numFmtId="164" xfId="0" applyFont="1" applyNumberFormat="1"/>
    <xf borderId="0" fillId="0" fontId="10" numFmtId="49" xfId="0" applyFont="1" applyNumberFormat="1"/>
    <xf borderId="0" fillId="0" fontId="13" numFmtId="49" xfId="0" applyFont="1" applyNumberFormat="1"/>
    <xf borderId="0" fillId="0" fontId="6" numFmtId="0" xfId="0" applyFont="1"/>
    <xf borderId="0" fillId="0" fontId="6" numFmtId="0" xfId="0" applyAlignment="1" applyFont="1">
      <alignment readingOrder="0"/>
    </xf>
    <xf borderId="7" fillId="0" fontId="13" numFmtId="49" xfId="0" applyBorder="1" applyFont="1" applyNumberFormat="1"/>
    <xf borderId="7" fillId="0" fontId="2" numFmtId="0" xfId="0" applyBorder="1" applyFont="1"/>
    <xf borderId="7" fillId="0" fontId="6" numFmtId="0" xfId="0" applyBorder="1" applyFont="1"/>
    <xf borderId="0" fillId="2" fontId="14" numFmtId="0" xfId="0" applyFont="1"/>
    <xf borderId="0" fillId="2" fontId="15" numFmtId="0" xfId="0" applyFont="1"/>
    <xf borderId="0" fillId="2" fontId="9" numFmtId="0" xfId="0" applyAlignment="1" applyFont="1">
      <alignment shrinkToFit="0" wrapText="1"/>
    </xf>
    <xf borderId="0" fillId="2" fontId="9" numFmtId="0" xfId="0" applyAlignment="1" applyFont="1">
      <alignment horizontal="center" shrinkToFit="0" wrapText="1"/>
    </xf>
    <xf borderId="0" fillId="2" fontId="9" numFmtId="0" xfId="0" applyAlignment="1" applyFont="1">
      <alignment horizontal="center" readingOrder="0" shrinkToFit="0" wrapText="1"/>
    </xf>
    <xf borderId="0" fillId="2" fontId="16" numFmtId="0" xfId="0" applyAlignment="1" applyFont="1">
      <alignment horizontal="center" shrinkToFit="0" wrapText="1"/>
    </xf>
    <xf borderId="0" fillId="2" fontId="8" numFmtId="0" xfId="0" applyAlignment="1" applyFont="1">
      <alignment shrinkToFit="0" wrapText="1"/>
    </xf>
    <xf borderId="0" fillId="2" fontId="8" numFmtId="3" xfId="0" applyAlignment="1" applyFont="1" applyNumberFormat="1">
      <alignment horizontal="right" shrinkToFit="0" wrapText="1"/>
    </xf>
    <xf borderId="0" fillId="2" fontId="8" numFmtId="3" xfId="0" applyAlignment="1" applyFont="1" applyNumberFormat="1">
      <alignment shrinkToFit="0" wrapText="1"/>
    </xf>
    <xf borderId="0" fillId="2" fontId="15" numFmtId="3" xfId="0" applyAlignment="1" applyFont="1" applyNumberFormat="1">
      <alignment horizontal="right" shrinkToFit="0" wrapText="1"/>
    </xf>
    <xf borderId="0" fillId="2" fontId="8" numFmtId="3" xfId="0" applyAlignment="1" applyFont="1" applyNumberFormat="1">
      <alignment horizontal="right" readingOrder="0" shrinkToFit="0" wrapText="1"/>
    </xf>
    <xf borderId="0" fillId="2" fontId="14" numFmtId="3" xfId="0" applyFont="1" applyNumberFormat="1"/>
    <xf borderId="0" fillId="2" fontId="8" numFmtId="0" xfId="0" applyAlignment="1" applyFont="1">
      <alignment horizontal="right" shrinkToFit="0" wrapText="1"/>
    </xf>
    <xf borderId="0" fillId="2" fontId="15" numFmtId="3" xfId="0" applyAlignment="1" applyFont="1" applyNumberFormat="1">
      <alignment shrinkToFit="0" wrapText="1"/>
    </xf>
    <xf borderId="8" fillId="2" fontId="17" numFmtId="0" xfId="0" applyBorder="1" applyFont="1"/>
    <xf borderId="3" fillId="2" fontId="14" numFmtId="0" xfId="0" applyBorder="1" applyFont="1"/>
    <xf borderId="9" fillId="2" fontId="14" numFmtId="0" xfId="0" applyBorder="1" applyFont="1"/>
    <xf borderId="0" fillId="0" fontId="8" numFmtId="3" xfId="0" applyAlignment="1" applyFont="1" applyNumberFormat="1">
      <alignment shrinkToFit="0" wrapText="1"/>
    </xf>
    <xf borderId="10" fillId="2" fontId="14" numFmtId="0" xfId="0" applyBorder="1" applyFont="1"/>
    <xf borderId="11" fillId="2" fontId="14" numFmtId="0" xfId="0" applyBorder="1" applyFont="1"/>
    <xf borderId="10" fillId="2" fontId="17" numFmtId="0" xfId="0" applyBorder="1" applyFont="1"/>
    <xf borderId="0" fillId="2" fontId="14" numFmtId="0" xfId="0" applyAlignment="1" applyFont="1">
      <alignment shrinkToFit="0" vertical="bottom" wrapText="1"/>
    </xf>
    <xf borderId="0" fillId="2" fontId="14" numFmtId="3" xfId="0" applyAlignment="1" applyFont="1" applyNumberFormat="1">
      <alignment vertical="bottom"/>
    </xf>
    <xf borderId="0" fillId="2" fontId="14" numFmtId="3" xfId="0" applyAlignment="1" applyFont="1" applyNumberFormat="1">
      <alignment horizontal="right" readingOrder="0" shrinkToFit="0" vertical="bottom" wrapText="1"/>
    </xf>
    <xf borderId="0" fillId="2" fontId="14" numFmtId="3" xfId="0" applyAlignment="1" applyFont="1" applyNumberFormat="1">
      <alignment horizontal="right" shrinkToFit="0" vertical="bottom" wrapText="1"/>
    </xf>
    <xf borderId="0" fillId="2" fontId="18" numFmtId="3" xfId="0" applyAlignment="1" applyFont="1" applyNumberFormat="1">
      <alignment horizontal="right" shrinkToFit="0" vertical="bottom" wrapText="1"/>
    </xf>
    <xf borderId="0" fillId="2" fontId="14" numFmtId="3" xfId="0" applyAlignment="1" applyFont="1" applyNumberFormat="1">
      <alignment horizontal="right" vertical="bottom"/>
    </xf>
    <xf borderId="0" fillId="2" fontId="14" numFmtId="0" xfId="0" applyAlignment="1" applyFont="1">
      <alignment readingOrder="0"/>
    </xf>
    <xf borderId="3" fillId="2" fontId="8" numFmtId="0" xfId="0" applyAlignment="1" applyBorder="1" applyFont="1">
      <alignment shrinkToFit="0" wrapText="1"/>
    </xf>
    <xf borderId="3" fillId="2" fontId="8" numFmtId="3" xfId="0" applyAlignment="1" applyBorder="1" applyFont="1" applyNumberFormat="1">
      <alignment horizontal="right" shrinkToFit="0" wrapText="1"/>
    </xf>
    <xf borderId="3" fillId="2" fontId="15" numFmtId="3" xfId="0" applyAlignment="1" applyBorder="1" applyFont="1" applyNumberFormat="1">
      <alignment horizontal="right" shrinkToFit="0" wrapText="1"/>
    </xf>
    <xf borderId="3" fillId="0" fontId="15" numFmtId="3" xfId="0" applyAlignment="1" applyBorder="1" applyFont="1" applyNumberFormat="1">
      <alignment horizontal="right" shrinkToFit="0" wrapText="1"/>
    </xf>
    <xf borderId="3" fillId="2" fontId="14" numFmtId="3" xfId="0" applyBorder="1" applyFont="1" applyNumberFormat="1"/>
    <xf borderId="0" fillId="2" fontId="8" numFmtId="0" xfId="0" applyFont="1"/>
    <xf borderId="0" fillId="2" fontId="14" numFmtId="165" xfId="0" applyFont="1" applyNumberFormat="1"/>
    <xf borderId="10" fillId="2" fontId="14" numFmtId="0" xfId="0" applyAlignment="1" applyBorder="1" applyFont="1">
      <alignment readingOrder="0"/>
    </xf>
    <xf borderId="6" fillId="2" fontId="8" numFmtId="0" xfId="0" applyAlignment="1" applyBorder="1" applyFont="1">
      <alignment shrinkToFit="0" wrapText="1"/>
    </xf>
    <xf borderId="6" fillId="2" fontId="8" numFmtId="0" xfId="0" applyAlignment="1" applyBorder="1" applyFont="1">
      <alignment horizontal="right" shrinkToFit="0" wrapText="1"/>
    </xf>
    <xf borderId="6" fillId="2" fontId="15" numFmtId="0" xfId="0" applyAlignment="1" applyBorder="1" applyFont="1">
      <alignment horizontal="right" shrinkToFit="0" wrapText="1"/>
    </xf>
    <xf borderId="6" fillId="2" fontId="14" numFmtId="0" xfId="0" applyBorder="1" applyFont="1"/>
    <xf borderId="6" fillId="2" fontId="14" numFmtId="165" xfId="0" applyBorder="1" applyFont="1" applyNumberFormat="1"/>
    <xf borderId="5" fillId="2" fontId="8" numFmtId="0" xfId="0" applyAlignment="1" applyBorder="1" applyFont="1">
      <alignment shrinkToFit="0" wrapText="1"/>
    </xf>
    <xf borderId="5" fillId="2" fontId="15" numFmtId="3" xfId="0" applyAlignment="1" applyBorder="1" applyFont="1" applyNumberFormat="1">
      <alignment shrinkToFit="0" wrapText="1"/>
    </xf>
    <xf borderId="5" fillId="2" fontId="8" numFmtId="3" xfId="0" applyAlignment="1" applyBorder="1" applyFont="1" applyNumberFormat="1">
      <alignment shrinkToFit="0" wrapText="1"/>
    </xf>
    <xf borderId="5" fillId="2" fontId="15" numFmtId="3" xfId="0" applyAlignment="1" applyBorder="1" applyFont="1" applyNumberFormat="1">
      <alignment horizontal="right" shrinkToFit="0" wrapText="1"/>
    </xf>
    <xf borderId="5" fillId="2" fontId="8" numFmtId="3" xfId="0" applyAlignment="1" applyBorder="1" applyFont="1" applyNumberFormat="1">
      <alignment horizontal="right" shrinkToFit="0" wrapText="1"/>
    </xf>
    <xf borderId="5" fillId="2" fontId="14" numFmtId="0" xfId="0" applyBorder="1" applyFont="1"/>
    <xf borderId="0" fillId="0" fontId="8" numFmtId="0" xfId="0" applyAlignment="1" applyFont="1">
      <alignment horizontal="right" shrinkToFit="0" wrapText="1"/>
    </xf>
    <xf borderId="0" fillId="0" fontId="8" numFmtId="0" xfId="0" applyAlignment="1" applyFont="1">
      <alignment horizontal="right" shrinkToFit="0" wrapText="0"/>
    </xf>
    <xf borderId="0" fillId="2" fontId="15" numFmtId="0" xfId="0" applyAlignment="1" applyFont="1">
      <alignment horizontal="right" shrinkToFit="0" wrapText="1"/>
    </xf>
    <xf borderId="0" fillId="0" fontId="5" numFmtId="0" xfId="0" applyFont="1"/>
    <xf borderId="0" fillId="2" fontId="15" numFmtId="0" xfId="0" applyAlignment="1" applyFont="1">
      <alignment shrinkToFit="0" wrapText="1"/>
    </xf>
    <xf borderId="0" fillId="2" fontId="19" numFmtId="0" xfId="0" applyFont="1"/>
    <xf borderId="0" fillId="0" fontId="15" numFmtId="0" xfId="0" applyAlignment="1" applyFont="1">
      <alignment shrinkToFit="0" wrapText="1"/>
    </xf>
    <xf borderId="12" fillId="0" fontId="5" numFmtId="0" xfId="0" applyBorder="1" applyFont="1"/>
    <xf borderId="13" fillId="2" fontId="8" numFmtId="0" xfId="0" applyAlignment="1" applyBorder="1" applyFont="1">
      <alignment shrinkToFit="0" wrapText="1"/>
    </xf>
    <xf borderId="14" fillId="2" fontId="8" numFmtId="0" xfId="0" applyAlignment="1" applyBorder="1" applyFont="1">
      <alignment shrinkToFit="0" wrapText="1"/>
    </xf>
    <xf borderId="0" fillId="2" fontId="18" numFmtId="0" xfId="0" applyAlignment="1" applyFont="1">
      <alignment shrinkToFit="0" wrapText="1"/>
    </xf>
    <xf borderId="0" fillId="0" fontId="8" numFmtId="0" xfId="0" applyAlignment="1" applyFont="1">
      <alignment shrinkToFit="0" wrapText="1"/>
    </xf>
    <xf borderId="0" fillId="2" fontId="14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15" fillId="2" fontId="14" numFmtId="0" xfId="0" applyBorder="1" applyFont="1"/>
    <xf borderId="16" fillId="2" fontId="14" numFmtId="0" xfId="0" applyBorder="1" applyFont="1"/>
    <xf borderId="17" fillId="2" fontId="9" numFmtId="0" xfId="0" applyAlignment="1" applyBorder="1" applyFont="1">
      <alignment vertical="center"/>
    </xf>
    <xf borderId="18" fillId="2" fontId="8" numFmtId="0" xfId="0" applyAlignment="1" applyBorder="1" applyFont="1">
      <alignment shrinkToFit="0" wrapText="1"/>
    </xf>
    <xf borderId="0" fillId="0" fontId="14" numFmtId="0" xfId="0" applyFont="1"/>
    <xf borderId="17" fillId="2" fontId="8" numFmtId="0" xfId="0" applyAlignment="1" applyBorder="1" applyFont="1">
      <alignment shrinkToFit="0" wrapText="1"/>
    </xf>
    <xf borderId="0" fillId="0" fontId="2" numFmtId="0" xfId="0" applyAlignment="1" applyFont="1">
      <alignment readingOrder="0"/>
    </xf>
    <xf borderId="0" fillId="2" fontId="8" numFmtId="0" xfId="0" applyAlignment="1" applyFont="1">
      <alignment horizontal="right" readingOrder="0" shrinkToFit="0" wrapText="1"/>
    </xf>
    <xf borderId="17" fillId="2" fontId="17" numFmtId="0" xfId="0" applyBorder="1" applyFont="1"/>
    <xf borderId="0" fillId="2" fontId="18" numFmtId="0" xfId="0" applyFont="1"/>
    <xf borderId="18" fillId="0" fontId="8" numFmtId="0" xfId="0" applyAlignment="1" applyBorder="1" applyFont="1">
      <alignment shrinkToFit="0" wrapText="0"/>
    </xf>
    <xf borderId="0" fillId="2" fontId="19" numFmtId="0" xfId="0" applyAlignment="1" applyFont="1">
      <alignment shrinkToFit="0" wrapText="1"/>
    </xf>
    <xf borderId="17" fillId="2" fontId="14" numFmtId="0" xfId="0" applyBorder="1" applyFont="1"/>
    <xf borderId="18" fillId="0" fontId="8" numFmtId="0" xfId="0" applyAlignment="1" applyBorder="1" applyFont="1">
      <alignment shrinkToFit="0" wrapText="1"/>
    </xf>
    <xf borderId="0" fillId="2" fontId="20" numFmtId="0" xfId="0" applyFont="1"/>
    <xf borderId="19" fillId="2" fontId="9" numFmtId="0" xfId="0" applyAlignment="1" applyBorder="1" applyFont="1">
      <alignment shrinkToFit="0" wrapText="1"/>
    </xf>
    <xf borderId="19" fillId="2" fontId="9" numFmtId="3" xfId="0" applyAlignment="1" applyBorder="1" applyFont="1" applyNumberFormat="1">
      <alignment horizontal="right" shrinkToFit="0" wrapText="1"/>
    </xf>
    <xf borderId="18" fillId="0" fontId="14" numFmtId="0" xfId="0" applyBorder="1" applyFont="1"/>
    <xf borderId="0" fillId="0" fontId="17" numFmtId="0" xfId="0" applyFont="1"/>
    <xf borderId="0" fillId="3" fontId="21" numFmtId="0" xfId="0" applyAlignment="1" applyFont="1">
      <alignment readingOrder="0"/>
    </xf>
    <xf borderId="0" fillId="0" fontId="22" numFmtId="0" xfId="0" applyFont="1"/>
    <xf borderId="0" fillId="3" fontId="21" numFmtId="0" xfId="0" applyFont="1"/>
    <xf borderId="0" fillId="0" fontId="14" numFmtId="3" xfId="0" applyFont="1" applyNumberFormat="1"/>
    <xf borderId="20" fillId="2" fontId="14" numFmtId="0" xfId="0" applyBorder="1" applyFont="1"/>
    <xf borderId="21" fillId="2" fontId="14" numFmtId="0" xfId="0" applyBorder="1" applyFont="1"/>
    <xf borderId="0" fillId="0" fontId="23" numFmtId="0" xfId="0" applyFont="1"/>
    <xf borderId="0" fillId="0" fontId="24" numFmtId="0" xfId="0" applyAlignment="1" applyFont="1">
      <alignment readingOrder="0"/>
    </xf>
    <xf borderId="22" fillId="0" fontId="10" numFmtId="0" xfId="0" applyBorder="1" applyFont="1"/>
    <xf borderId="6" fillId="0" fontId="25" numFmtId="0" xfId="0" applyBorder="1" applyFont="1"/>
    <xf borderId="0" fillId="0" fontId="2" numFmtId="0" xfId="0" applyAlignment="1" applyFont="1">
      <alignment shrinkToFit="0" wrapText="0"/>
    </xf>
    <xf borderId="22" fillId="0" fontId="2" numFmtId="0" xfId="0" applyBorder="1" applyFont="1"/>
    <xf borderId="0" fillId="3" fontId="21" numFmtId="0" xfId="0" applyFont="1"/>
    <xf borderId="0" fillId="0" fontId="26" numFmtId="0" xfId="0" applyFont="1"/>
    <xf borderId="19" fillId="0" fontId="26" numFmtId="0" xfId="0" applyBorder="1" applyFont="1"/>
    <xf borderId="19" fillId="0" fontId="2" numFmtId="0" xfId="0" applyBorder="1" applyFont="1"/>
    <xf borderId="6" fillId="0" fontId="23" numFmtId="0" xfId="0" applyBorder="1" applyFont="1"/>
    <xf borderId="6" fillId="0" fontId="6" numFmtId="0" xfId="0" applyAlignment="1" applyBorder="1" applyFont="1">
      <alignment readingOrder="0"/>
    </xf>
    <xf borderId="6" fillId="0" fontId="6" numFmtId="0" xfId="0" applyBorder="1" applyFont="1"/>
    <xf borderId="19" fillId="0" fontId="5" numFmtId="0" xfId="0" applyBorder="1" applyFont="1"/>
    <xf borderId="0" fillId="0" fontId="27" numFmtId="0" xfId="0" applyFont="1"/>
    <xf borderId="0" fillId="0" fontId="28" numFmtId="0" xfId="0" applyFont="1"/>
    <xf borderId="3" fillId="0" fontId="6" numFmtId="0" xfId="0" applyBorder="1" applyFont="1"/>
    <xf borderId="3" fillId="0" fontId="2" numFmtId="0" xfId="0" applyBorder="1" applyFont="1"/>
    <xf borderId="6" fillId="0" fontId="26" numFmtId="0" xfId="0" applyBorder="1" applyFont="1"/>
    <xf borderId="0" fillId="0" fontId="29" numFmtId="0" xfId="0" applyAlignment="1" applyFont="1">
      <alignment shrinkToFit="0" wrapText="1"/>
    </xf>
    <xf borderId="3" fillId="0" fontId="29" numFmtId="0" xfId="0" applyAlignment="1" applyBorder="1" applyFont="1">
      <alignment shrinkToFit="0" wrapText="1"/>
    </xf>
    <xf borderId="0" fillId="0" fontId="6" numFmtId="1" xfId="0" applyFont="1" applyNumberFormat="1"/>
    <xf borderId="6" fillId="0" fontId="6" numFmtId="0" xfId="0" applyAlignment="1" applyBorder="1" applyFont="1">
      <alignment vertical="bottom"/>
    </xf>
    <xf borderId="15" fillId="0" fontId="29" numFmtId="0" xfId="0" applyAlignment="1" applyBorder="1" applyFont="1">
      <alignment shrinkToFit="0" vertical="bottom" wrapText="1"/>
    </xf>
    <xf borderId="6" fillId="0" fontId="29" numFmtId="0" xfId="0" applyAlignment="1" applyBorder="1" applyFont="1">
      <alignment vertical="bottom"/>
    </xf>
    <xf borderId="11" fillId="0" fontId="6" numFmtId="0" xfId="0" applyAlignment="1" applyBorder="1" applyFont="1">
      <alignment vertical="bottom"/>
    </xf>
    <xf borderId="0" fillId="0" fontId="10" numFmtId="0" xfId="0" applyFont="1"/>
    <xf borderId="10" fillId="0" fontId="6" numFmtId="0" xfId="0" applyAlignment="1" applyBorder="1" applyFont="1">
      <alignment vertical="bottom"/>
    </xf>
    <xf borderId="0" fillId="0" fontId="6" numFmtId="0" xfId="0" applyAlignment="1" applyFont="1">
      <alignment shrinkToFit="0" vertical="bottom" wrapText="0"/>
    </xf>
    <xf borderId="9" fillId="0" fontId="6" numFmtId="0" xfId="0" applyAlignment="1" applyBorder="1" applyFont="1">
      <alignment vertical="bottom"/>
    </xf>
    <xf borderId="0" fillId="0" fontId="6" numFmtId="0" xfId="0" applyAlignment="1" applyFont="1">
      <alignment horizontal="right" vertical="bottom"/>
    </xf>
    <xf borderId="11" fillId="4" fontId="6" numFmtId="0" xfId="0" applyAlignment="1" applyBorder="1" applyFill="1" applyFont="1">
      <alignment vertical="bottom"/>
    </xf>
    <xf borderId="0" fillId="4" fontId="2" numFmtId="0" xfId="0" applyFont="1"/>
    <xf borderId="15" fillId="0" fontId="6" numFmtId="0" xfId="0" applyAlignment="1" applyBorder="1" applyFont="1">
      <alignment vertical="bottom"/>
    </xf>
    <xf borderId="6" fillId="0" fontId="6" numFmtId="0" xfId="0" applyAlignment="1" applyBorder="1" applyFont="1">
      <alignment shrinkToFit="0" vertical="bottom" wrapText="0"/>
    </xf>
    <xf borderId="16" fillId="0" fontId="6" numFmtId="0" xfId="0" applyAlignment="1" applyBorder="1" applyFont="1">
      <alignment vertical="bottom"/>
    </xf>
    <xf borderId="0" fillId="5" fontId="2" numFmtId="0" xfId="0" applyFill="1" applyFont="1"/>
    <xf borderId="0" fillId="0" fontId="6" numFmtId="0" xfId="0" applyAlignment="1" applyFont="1">
      <alignment vertical="bottom"/>
    </xf>
    <xf borderId="23" fillId="0" fontId="10" numFmtId="0" xfId="0" applyBorder="1" applyFont="1"/>
    <xf borderId="24" fillId="0" fontId="2" numFmtId="0" xfId="0" applyBorder="1" applyFont="1"/>
    <xf borderId="23" fillId="0" fontId="10" numFmtId="1" xfId="0" applyBorder="1" applyFont="1" applyNumberFormat="1"/>
    <xf borderId="1" fillId="0" fontId="29" numFmtId="0" xfId="0" applyAlignment="1" applyBorder="1" applyFont="1">
      <alignment shrinkToFit="0" vertical="bottom" wrapText="1"/>
    </xf>
    <xf borderId="9" fillId="0" fontId="2" numFmtId="0" xfId="0" applyBorder="1" applyFont="1"/>
    <xf borderId="0" fillId="0" fontId="29" numFmtId="0" xfId="0" applyFont="1"/>
    <xf borderId="11" fillId="0" fontId="2" numFmtId="0" xfId="0" applyBorder="1" applyFont="1"/>
    <xf borderId="6" fillId="0" fontId="29" numFmtId="0" xfId="0" applyBorder="1" applyFont="1"/>
    <xf borderId="6" fillId="0" fontId="29" numFmtId="0" xfId="0" applyAlignment="1" applyBorder="1" applyFont="1">
      <alignment shrinkToFit="0" wrapText="1"/>
    </xf>
    <xf borderId="10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0" fillId="5" fontId="6" numFmtId="0" xfId="0" applyAlignment="1" applyFont="1">
      <alignment readingOrder="0"/>
    </xf>
    <xf borderId="0" fillId="5" fontId="6" numFmtId="0" xfId="0" applyFont="1"/>
    <xf borderId="8" fillId="0" fontId="5" numFmtId="0" xfId="0" applyBorder="1" applyFont="1"/>
    <xf borderId="6" fillId="0" fontId="5" numFmtId="0" xfId="0" applyAlignment="1" applyBorder="1" applyFont="1">
      <alignment readingOrder="0"/>
    </xf>
    <xf borderId="6" fillId="0" fontId="5" numFmtId="0" xfId="0" applyBorder="1" applyFont="1"/>
    <xf borderId="15" fillId="4" fontId="30" numFmtId="0" xfId="0" applyAlignment="1" applyBorder="1" applyFont="1">
      <alignment vertical="bottom"/>
    </xf>
    <xf borderId="6" fillId="0" fontId="31" numFmtId="0" xfId="0" applyAlignment="1" applyBorder="1" applyFont="1">
      <alignment vertical="bottom"/>
    </xf>
    <xf borderId="0" fillId="0" fontId="31" numFmtId="0" xfId="0" applyAlignment="1" applyFont="1">
      <alignment vertical="bottom"/>
    </xf>
    <xf borderId="6" fillId="4" fontId="30" numFmtId="0" xfId="0" applyAlignment="1" applyBorder="1" applyFont="1">
      <alignment vertical="bottom"/>
    </xf>
    <xf borderId="16" fillId="0" fontId="31" numFmtId="0" xfId="0" applyAlignment="1" applyBorder="1" applyFont="1">
      <alignment vertical="bottom"/>
    </xf>
    <xf borderId="0" fillId="0" fontId="7" numFmtId="0" xfId="0" applyFont="1"/>
    <xf borderId="0" fillId="0" fontId="7" numFmtId="0" xfId="0" applyAlignment="1" applyFont="1">
      <alignment readingOrder="0"/>
    </xf>
    <xf borderId="10" fillId="0" fontId="32" numFmtId="0" xfId="0" applyAlignment="1" applyBorder="1" applyFont="1">
      <alignment vertical="bottom"/>
    </xf>
    <xf borderId="0" fillId="0" fontId="32" numFmtId="0" xfId="0" applyAlignment="1" applyFont="1">
      <alignment vertical="bottom"/>
    </xf>
    <xf borderId="11" fillId="0" fontId="31" numFmtId="0" xfId="0" applyAlignment="1" applyBorder="1" applyFont="1">
      <alignment vertical="bottom"/>
    </xf>
    <xf borderId="10" fillId="0" fontId="31" numFmtId="0" xfId="0" applyAlignment="1" applyBorder="1" applyFont="1">
      <alignment vertical="bottom"/>
    </xf>
    <xf borderId="0" fillId="0" fontId="31" numFmtId="0" xfId="0" applyAlignment="1" applyFont="1">
      <alignment horizontal="right" vertical="bottom"/>
    </xf>
    <xf borderId="11" fillId="0" fontId="31" numFmtId="0" xfId="0" applyAlignment="1" applyBorder="1" applyFont="1">
      <alignment horizontal="right" vertical="bottom"/>
    </xf>
    <xf borderId="0" fillId="0" fontId="31" numFmtId="0" xfId="0" applyAlignment="1" applyFont="1">
      <alignment horizontal="right" readingOrder="0" vertical="bottom"/>
    </xf>
    <xf borderId="7" fillId="0" fontId="31" numFmtId="0" xfId="0" applyAlignment="1" applyBorder="1" applyFont="1">
      <alignment vertical="bottom"/>
    </xf>
    <xf borderId="25" fillId="0" fontId="31" numFmtId="0" xfId="0" applyAlignment="1" applyBorder="1" applyFont="1">
      <alignment horizontal="right" vertical="bottom"/>
    </xf>
    <xf borderId="26" fillId="0" fontId="2" numFmtId="0" xfId="0" applyBorder="1" applyFont="1"/>
    <xf borderId="15" fillId="0" fontId="31" numFmtId="0" xfId="0" applyAlignment="1" applyBorder="1" applyFont="1">
      <alignment vertical="bottom"/>
    </xf>
    <xf borderId="6" fillId="0" fontId="31" numFmtId="0" xfId="0" applyAlignment="1" applyBorder="1" applyFont="1">
      <alignment horizontal="right" vertical="bottom"/>
    </xf>
    <xf borderId="0" fillId="6" fontId="31" numFmtId="0" xfId="0" applyAlignment="1" applyFill="1" applyFont="1">
      <alignment vertical="bottom"/>
    </xf>
    <xf borderId="11" fillId="6" fontId="31" numFmtId="0" xfId="0" applyAlignment="1" applyBorder="1" applyFont="1">
      <alignment horizontal="right" vertical="bottom"/>
    </xf>
    <xf borderId="15" fillId="0" fontId="32" numFmtId="0" xfId="0" applyAlignment="1" applyBorder="1" applyFont="1">
      <alignment vertical="bottom"/>
    </xf>
    <xf borderId="1" fillId="0" fontId="2" numFmtId="0" xfId="0" applyBorder="1" applyFont="1"/>
    <xf borderId="10" fillId="0" fontId="6" numFmtId="0" xfId="0" applyBorder="1" applyFont="1"/>
    <xf borderId="10" fillId="0" fontId="5" numFmtId="0" xfId="0" applyBorder="1" applyFont="1"/>
    <xf borderId="10" fillId="0" fontId="2" numFmtId="0" xfId="0" applyAlignment="1" applyBorder="1" applyFont="1">
      <alignment readingOrder="0" shrinkToFit="0" wrapText="0"/>
    </xf>
    <xf borderId="4" fillId="0" fontId="2" numFmtId="0" xfId="0" applyBorder="1" applyFont="1"/>
    <xf borderId="1" fillId="3" fontId="10" numFmtId="0" xfId="0" applyBorder="1" applyFont="1"/>
    <xf borderId="11" fillId="0" fontId="2" numFmtId="0" xfId="0" applyAlignment="1" applyBorder="1" applyFont="1">
      <alignment readingOrder="0"/>
    </xf>
    <xf borderId="15" fillId="0" fontId="5" numFmtId="0" xfId="0" applyAlignment="1" applyBorder="1" applyFont="1">
      <alignment shrinkToFit="0" wrapText="1"/>
    </xf>
    <xf borderId="16" fillId="0" fontId="5" numFmtId="0" xfId="0" applyBorder="1" applyFont="1"/>
    <xf borderId="1" fillId="3" fontId="33" numFmtId="0" xfId="0" applyAlignment="1" applyBorder="1" applyFont="1">
      <alignment readingOrder="0"/>
    </xf>
    <xf borderId="0" fillId="0" fontId="31" numFmtId="0" xfId="0" applyAlignment="1" applyFont="1">
      <alignment readingOrder="0" vertical="bottom"/>
    </xf>
    <xf borderId="0" fillId="0" fontId="34" numFmtId="0" xfId="0" applyAlignment="1" applyFont="1">
      <alignment shrinkToFit="0" vertical="bottom" wrapText="0"/>
    </xf>
    <xf borderId="16" fillId="0" fontId="2" numFmtId="0" xfId="0" applyAlignment="1" applyBorder="1" applyFont="1">
      <alignment readingOrder="0"/>
    </xf>
    <xf borderId="0" fillId="0" fontId="35" numFmtId="2" xfId="0" applyAlignment="1" applyFont="1" applyNumberFormat="1">
      <alignment horizontal="right" vertical="top"/>
    </xf>
    <xf borderId="0" fillId="0" fontId="6" numFmtId="2" xfId="0" applyAlignment="1" applyFont="1" applyNumberFormat="1">
      <alignment horizontal="right" vertical="bottom"/>
    </xf>
    <xf borderId="0" fillId="0" fontId="31" numFmtId="2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8.0"/>
    <col customWidth="1" min="2" max="2" width="24.57"/>
    <col customWidth="1" min="4" max="4" width="12.86"/>
    <col customWidth="1" min="5" max="6" width="9.0"/>
  </cols>
  <sheetData>
    <row r="1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3"/>
      <c r="B4" s="2"/>
      <c r="C4" s="3"/>
      <c r="D4" s="3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7" t="s">
        <v>2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8" t="s">
        <v>3</v>
      </c>
      <c r="B6" s="9">
        <v>0.12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0"/>
      <c r="C8" s="10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0"/>
      <c r="E9" s="3"/>
      <c r="F9" s="3"/>
      <c r="G9" s="3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2"/>
      <c r="B10" s="13"/>
      <c r="C10" s="12"/>
      <c r="D10" s="12"/>
      <c r="E10" s="3"/>
      <c r="F10" s="3"/>
      <c r="G10" s="3"/>
      <c r="H10" s="1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2"/>
      <c r="B11" s="15" t="s">
        <v>0</v>
      </c>
      <c r="C11" s="16" t="s">
        <v>4</v>
      </c>
      <c r="D11" s="17" t="s">
        <v>5</v>
      </c>
      <c r="E11" s="3"/>
      <c r="F11" s="3"/>
      <c r="G11" s="3"/>
      <c r="H11" s="1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8" t="s">
        <v>6</v>
      </c>
      <c r="B12" s="19"/>
      <c r="C12" s="20"/>
      <c r="D12" s="20"/>
      <c r="E12" s="3"/>
      <c r="F12" s="3"/>
      <c r="G12" s="3"/>
      <c r="H12" s="1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1" t="s">
        <v>7</v>
      </c>
      <c r="B13" s="22"/>
      <c r="C13" s="22"/>
      <c r="D13" s="22"/>
      <c r="E13" s="3"/>
      <c r="F13" s="3"/>
      <c r="G13" s="3"/>
      <c r="H13" s="1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1" t="s">
        <v>8</v>
      </c>
      <c r="B14" s="23">
        <f>Treningsbudsjett!J13+Treningsbudsjett!J19</f>
        <v>259100</v>
      </c>
      <c r="C14" s="24">
        <v>262450.0</v>
      </c>
      <c r="D14" s="23">
        <v>264600.0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1" t="s">
        <v>9</v>
      </c>
      <c r="B15" s="23">
        <f>Medlemskontigent!D9</f>
        <v>296210</v>
      </c>
      <c r="C15" s="24">
        <v>325500.0</v>
      </c>
      <c r="D15" s="23">
        <v>268675.0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1" t="s">
        <v>10</v>
      </c>
      <c r="B16" s="23">
        <f>Kurs!I11+Kurs!F30</f>
        <v>138625.375</v>
      </c>
      <c r="C16" s="25">
        <v>91900.0</v>
      </c>
      <c r="D16" s="23">
        <v>166000.0</v>
      </c>
      <c r="E16" s="3"/>
      <c r="F16" s="3"/>
      <c r="G16" s="3"/>
      <c r="H16" s="1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1" t="s">
        <v>11</v>
      </c>
      <c r="B17" s="23">
        <f>Driftstilskudd!G12</f>
        <v>11000</v>
      </c>
      <c r="C17" s="24">
        <v>10284.0</v>
      </c>
      <c r="D17" s="23">
        <v>10000.0</v>
      </c>
      <c r="E17" s="3" t="s">
        <v>12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1" t="s">
        <v>13</v>
      </c>
      <c r="B18" s="23">
        <v>0.0</v>
      </c>
      <c r="C18" s="24">
        <v>0.0</v>
      </c>
      <c r="D18" s="23">
        <v>0.0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1" t="s">
        <v>14</v>
      </c>
      <c r="B19" s="23">
        <v>7200.0</v>
      </c>
      <c r="C19" s="24">
        <v>5290.0</v>
      </c>
      <c r="D19" s="23">
        <v>500.0</v>
      </c>
      <c r="E19" s="3" t="s">
        <v>15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1" t="s">
        <v>16</v>
      </c>
      <c r="B20" s="23">
        <v>3000.0</v>
      </c>
      <c r="C20" s="24">
        <v>4650.0</v>
      </c>
      <c r="D20" s="23">
        <v>6000.0</v>
      </c>
      <c r="E20" s="3" t="s">
        <v>17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1" t="s">
        <v>18</v>
      </c>
      <c r="B21" s="23">
        <v>20000.0</v>
      </c>
      <c r="C21" s="23">
        <v>11600.0</v>
      </c>
      <c r="D21" s="23">
        <v>22000.0</v>
      </c>
      <c r="E21" s="3" t="s">
        <v>19</v>
      </c>
      <c r="F21" s="3"/>
      <c r="G21" s="3"/>
      <c r="H21" s="3"/>
      <c r="I21" s="3"/>
      <c r="J21" s="6"/>
      <c r="K21" s="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6" t="s">
        <v>20</v>
      </c>
      <c r="B22" s="27">
        <f t="shared" ref="B22:D22" si="1">SUM(B14:B21)</f>
        <v>735135.375</v>
      </c>
      <c r="C22" s="27">
        <f t="shared" si="1"/>
        <v>711674</v>
      </c>
      <c r="D22" s="27">
        <f t="shared" si="1"/>
        <v>737775</v>
      </c>
      <c r="E22" s="3"/>
      <c r="F22" s="3"/>
      <c r="G22" s="3"/>
      <c r="H22" s="3"/>
      <c r="I22" s="3"/>
      <c r="J22" s="2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8" t="s">
        <v>21</v>
      </c>
      <c r="B23" s="23"/>
      <c r="C23" s="23"/>
      <c r="D23" s="23"/>
      <c r="E23" s="3"/>
      <c r="F23" s="3"/>
      <c r="G23" s="3"/>
      <c r="H23" s="3"/>
      <c r="I23" s="3"/>
      <c r="J23" s="2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1" t="s">
        <v>22</v>
      </c>
      <c r="B24" s="23">
        <f>Driftstilskudd!G7</f>
        <v>246518</v>
      </c>
      <c r="C24" s="24">
        <v>292126.0</v>
      </c>
      <c r="D24" s="23">
        <v>268239.0</v>
      </c>
      <c r="E24" s="29" t="s">
        <v>23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1" t="s">
        <v>24</v>
      </c>
      <c r="B25" s="23">
        <v>20000.0</v>
      </c>
      <c r="C25" s="24">
        <v>33550.0</v>
      </c>
      <c r="D25" s="23">
        <v>20000.0</v>
      </c>
      <c r="E25" s="3" t="s">
        <v>25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1" t="s">
        <v>26</v>
      </c>
      <c r="B26" s="23">
        <v>500.0</v>
      </c>
      <c r="C26" s="23">
        <v>105910.0</v>
      </c>
      <c r="D26" s="23">
        <v>200.0</v>
      </c>
      <c r="E26" s="28" t="s">
        <v>27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6" t="s">
        <v>28</v>
      </c>
      <c r="B27" s="27">
        <f t="shared" ref="B27:D27" si="2">SUM(B24:B26)</f>
        <v>267018</v>
      </c>
      <c r="C27" s="27">
        <f t="shared" si="2"/>
        <v>431586</v>
      </c>
      <c r="D27" s="27">
        <f t="shared" si="2"/>
        <v>288439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0" t="s">
        <v>29</v>
      </c>
      <c r="B28" s="31">
        <f t="shared" ref="B28:D28" si="3">SUM(B22+B27)</f>
        <v>1002153.375</v>
      </c>
      <c r="C28" s="31">
        <f t="shared" si="3"/>
        <v>1143260</v>
      </c>
      <c r="D28" s="31">
        <f t="shared" si="3"/>
        <v>1026214</v>
      </c>
      <c r="E28" s="3" t="s">
        <v>30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8" t="s">
        <v>31</v>
      </c>
      <c r="B29" s="23"/>
      <c r="C29" s="23"/>
      <c r="D29" s="2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1" t="s">
        <v>32</v>
      </c>
      <c r="B30" s="32"/>
      <c r="C30" s="32"/>
      <c r="D30" s="3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3" t="s">
        <v>33</v>
      </c>
      <c r="B31" s="23">
        <f>Kurs!K29</f>
        <v>13000</v>
      </c>
      <c r="C31" s="24">
        <v>5000.0</v>
      </c>
      <c r="D31" s="23">
        <f>5000</f>
        <v>5000</v>
      </c>
      <c r="E31" s="7" t="s">
        <v>34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1" t="s">
        <v>35</v>
      </c>
      <c r="B32" s="23">
        <f>(Treningsbudsjett!J20 +Treningsbudsjett!J25)*-1</f>
        <v>24740</v>
      </c>
      <c r="C32" s="24">
        <v>4139.0</v>
      </c>
      <c r="D32" s="23">
        <v>37300.0</v>
      </c>
      <c r="E32" s="3" t="s">
        <v>36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1" t="s">
        <v>37</v>
      </c>
      <c r="B33" s="23">
        <f>Treningsbudsjett!J22*-1</f>
        <v>36000</v>
      </c>
      <c r="C33" s="24">
        <v>31926.0</v>
      </c>
      <c r="D33" s="23">
        <v>36000.0</v>
      </c>
      <c r="E33" s="3" t="s">
        <v>38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1" t="s">
        <v>39</v>
      </c>
      <c r="B34" s="23">
        <f>Arrangement!A13</f>
        <v>40000</v>
      </c>
      <c r="C34" s="24">
        <v>25137.0</v>
      </c>
      <c r="D34" s="23">
        <v>50000.0</v>
      </c>
      <c r="E34" s="28" t="s">
        <v>40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1" t="s">
        <v>41</v>
      </c>
      <c r="B35" s="23">
        <f>20000+B25</f>
        <v>40000</v>
      </c>
      <c r="C35" s="24">
        <v>76888.0</v>
      </c>
      <c r="D35" s="23">
        <v>40000.0</v>
      </c>
      <c r="E35" s="28" t="s">
        <v>42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26" t="s">
        <v>43</v>
      </c>
      <c r="B36" s="27">
        <f t="shared" ref="B36:D36" si="4">SUM(B31:B35)</f>
        <v>153740</v>
      </c>
      <c r="C36" s="27">
        <f t="shared" si="4"/>
        <v>143090</v>
      </c>
      <c r="D36" s="27">
        <f t="shared" si="4"/>
        <v>168300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8" t="s">
        <v>44</v>
      </c>
      <c r="B37" s="23"/>
      <c r="C37" s="23"/>
      <c r="D37" s="2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1" t="s">
        <v>45</v>
      </c>
      <c r="B38" s="23">
        <f>(330000/52*47)+15000</f>
        <v>313269.2308</v>
      </c>
      <c r="C38" s="24">
        <v>306750.0</v>
      </c>
      <c r="D38" s="23">
        <f>(315000/52*47)</f>
        <v>284711.5385</v>
      </c>
      <c r="E38" s="34" t="s">
        <v>46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1" t="s">
        <v>47</v>
      </c>
      <c r="B39" s="23">
        <f>Treningsbudsjett!G13+Kurs!E11+(Treningsbudsjett!J21*-1)+Kurs!C31</f>
        <v>238116.8</v>
      </c>
      <c r="C39" s="24">
        <v>150540.0</v>
      </c>
      <c r="D39" s="23">
        <v>225868.0</v>
      </c>
      <c r="E39" s="3" t="s">
        <v>48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1" t="s">
        <v>49</v>
      </c>
      <c r="B40" s="23">
        <f>(B38)/52*47*feriepengesats</f>
        <v>33977.66272</v>
      </c>
      <c r="C40" s="24">
        <v>58875.0</v>
      </c>
      <c r="D40" s="23">
        <v>34165.0</v>
      </c>
      <c r="E40" s="3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1" t="s">
        <v>50</v>
      </c>
      <c r="B41" s="23">
        <f>(B38+B40)/100*14.1</f>
        <v>48961.81198</v>
      </c>
      <c r="C41" s="24">
        <v>43252.0</v>
      </c>
      <c r="D41" s="23">
        <v>44962.0</v>
      </c>
      <c r="E41" s="3" t="s">
        <v>51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1" t="s">
        <v>52</v>
      </c>
      <c r="B42" s="24">
        <v>0.0</v>
      </c>
      <c r="C42" s="24">
        <v>0.0</v>
      </c>
      <c r="D42" s="23">
        <v>15000.0</v>
      </c>
      <c r="E42" s="3" t="s">
        <v>53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6" t="s">
        <v>54</v>
      </c>
      <c r="B43" s="27">
        <f t="shared" ref="B43:D43" si="5">SUM(B38:B42)</f>
        <v>634325.5055</v>
      </c>
      <c r="C43" s="27">
        <f t="shared" si="5"/>
        <v>559417</v>
      </c>
      <c r="D43" s="27">
        <f t="shared" si="5"/>
        <v>604706.5385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8" t="s">
        <v>55</v>
      </c>
      <c r="B44" s="23"/>
      <c r="C44" s="23"/>
      <c r="D44" s="2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1" t="s">
        <v>56</v>
      </c>
      <c r="B45" s="23">
        <v>2500.0</v>
      </c>
      <c r="C45" s="24">
        <v>0.0</v>
      </c>
      <c r="D45" s="23">
        <v>5000.0</v>
      </c>
      <c r="E45" s="3" t="s">
        <v>57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1" t="s">
        <v>58</v>
      </c>
      <c r="B46" s="23">
        <f>'Øvrige '!D25</f>
        <v>24310</v>
      </c>
      <c r="C46" s="24">
        <v>21076.0</v>
      </c>
      <c r="D46" s="23">
        <v>11500.0</v>
      </c>
      <c r="E46" s="3" t="s">
        <v>59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1" t="s">
        <v>60</v>
      </c>
      <c r="B47" s="23">
        <v>4000.0</v>
      </c>
      <c r="C47" s="24">
        <v>0.0</v>
      </c>
      <c r="D47" s="23"/>
      <c r="E47" s="3" t="s">
        <v>61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1" t="s">
        <v>62</v>
      </c>
      <c r="B48" s="23">
        <v>30000.0</v>
      </c>
      <c r="C48" s="24">
        <v>23762.0</v>
      </c>
      <c r="D48" s="23">
        <v>35000.0</v>
      </c>
      <c r="E48" s="3" t="s">
        <v>63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1" t="s">
        <v>64</v>
      </c>
      <c r="B49" s="23">
        <v>3000.0</v>
      </c>
      <c r="C49" s="24">
        <v>1902.0</v>
      </c>
      <c r="D49" s="23">
        <v>3000.0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1" t="s">
        <v>65</v>
      </c>
      <c r="B50" s="24">
        <v>10000.0</v>
      </c>
      <c r="C50" s="24">
        <v>0.0</v>
      </c>
      <c r="D50" s="23">
        <v>3000.0</v>
      </c>
      <c r="E50" s="28" t="s">
        <v>66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1" t="s">
        <v>67</v>
      </c>
      <c r="B51" s="23">
        <f>'Øvrige '!C17+(Treningsbudsjett!J27*-1)</f>
        <v>23000</v>
      </c>
      <c r="C51" s="24">
        <v>15597.0</v>
      </c>
      <c r="D51" s="23">
        <v>21500.0</v>
      </c>
      <c r="E51" s="3" t="s">
        <v>68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1" t="s">
        <v>69</v>
      </c>
      <c r="B52" s="23">
        <f>850*20</f>
        <v>17000</v>
      </c>
      <c r="C52" s="24">
        <v>15200.0</v>
      </c>
      <c r="D52" s="23">
        <v>15800.0</v>
      </c>
      <c r="E52" s="3" t="s">
        <v>70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1" t="s">
        <v>71</v>
      </c>
      <c r="B53" s="23">
        <v>3600.0</v>
      </c>
      <c r="C53" s="24">
        <f>1614*2</f>
        <v>3228</v>
      </c>
      <c r="D53" s="23">
        <v>3600.0</v>
      </c>
      <c r="E53" s="28" t="s">
        <v>72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1" t="s">
        <v>73</v>
      </c>
      <c r="B54" s="23">
        <f>(Treningsbudsjett!J23*-1)+Kurs!C38</f>
        <v>12200</v>
      </c>
      <c r="C54" s="24">
        <v>21622.0</v>
      </c>
      <c r="D54" s="23">
        <v>28500.0</v>
      </c>
      <c r="E54" s="3" t="s">
        <v>74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1" t="s">
        <v>75</v>
      </c>
      <c r="B55" s="23">
        <v>1500.0</v>
      </c>
      <c r="C55" s="24">
        <v>0.0</v>
      </c>
      <c r="D55" s="23">
        <v>1500.0</v>
      </c>
      <c r="E55" s="3" t="s">
        <v>76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1" t="s">
        <v>77</v>
      </c>
      <c r="B56" s="23">
        <f>'Øvrige '!C10</f>
        <v>50000</v>
      </c>
      <c r="C56" s="24">
        <v>25447.0</v>
      </c>
      <c r="D56" s="23">
        <v>45000.0</v>
      </c>
      <c r="E56" s="28" t="s">
        <v>78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1" t="s">
        <v>79</v>
      </c>
      <c r="B57" s="23">
        <v>10000.0</v>
      </c>
      <c r="C57" s="24">
        <v>9926.0</v>
      </c>
      <c r="D57" s="23">
        <v>8000.0</v>
      </c>
      <c r="E57" s="34" t="s">
        <v>80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1" t="s">
        <v>81</v>
      </c>
      <c r="B58" s="23">
        <v>8000.0</v>
      </c>
      <c r="C58" s="24">
        <v>3516.0</v>
      </c>
      <c r="D58" s="23">
        <f>Treningsbudsjett!L26*-1</f>
        <v>0</v>
      </c>
      <c r="E58" s="3" t="s">
        <v>82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1" t="s">
        <v>83</v>
      </c>
      <c r="B59" s="23">
        <f>Forsikring!C11</f>
        <v>6377</v>
      </c>
      <c r="C59" s="24">
        <v>7983.0</v>
      </c>
      <c r="D59" s="23">
        <v>8076.0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1" t="s">
        <v>84</v>
      </c>
      <c r="B60" s="23">
        <v>8000.0</v>
      </c>
      <c r="C60" s="24">
        <v>8092.0</v>
      </c>
      <c r="D60" s="23">
        <v>6000.0</v>
      </c>
      <c r="E60" s="3" t="s">
        <v>85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6" t="s">
        <v>86</v>
      </c>
      <c r="B61" s="27">
        <f t="shared" ref="B61:D61" si="6">SUM(B45:B60)</f>
        <v>213487</v>
      </c>
      <c r="C61" s="27">
        <f t="shared" si="6"/>
        <v>157351</v>
      </c>
      <c r="D61" s="27">
        <f t="shared" si="6"/>
        <v>195476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0" t="s">
        <v>87</v>
      </c>
      <c r="B62" s="31">
        <f t="shared" ref="B62:D62" si="7">B43+B61+B36</f>
        <v>1001552.505</v>
      </c>
      <c r="C62" s="31">
        <f t="shared" si="7"/>
        <v>859858</v>
      </c>
      <c r="D62" s="31">
        <f t="shared" si="7"/>
        <v>968482.5385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6" t="s">
        <v>88</v>
      </c>
      <c r="B63" s="31">
        <f t="shared" ref="B63:D63" si="8">B28-B62</f>
        <v>600.8695266</v>
      </c>
      <c r="C63" s="31">
        <f t="shared" si="8"/>
        <v>283402</v>
      </c>
      <c r="D63" s="31">
        <f t="shared" si="8"/>
        <v>57731.46154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2"/>
      <c r="B64" s="23"/>
      <c r="C64" s="23"/>
      <c r="D64" s="1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2"/>
      <c r="B65" s="23"/>
      <c r="C65" s="23"/>
      <c r="D65" s="1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8"/>
      <c r="B66" s="23"/>
      <c r="C66" s="23"/>
      <c r="D66" s="20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8"/>
      <c r="B67" s="23"/>
      <c r="C67" s="23"/>
      <c r="D67" s="2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1"/>
      <c r="B68" s="23"/>
      <c r="C68" s="23"/>
      <c r="D68" s="1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1"/>
      <c r="B69" s="23"/>
      <c r="C69" s="23"/>
      <c r="D69" s="37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1"/>
      <c r="B70" s="23"/>
      <c r="C70" s="23"/>
      <c r="D70" s="37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8"/>
      <c r="B71" s="23"/>
      <c r="C71" s="23"/>
      <c r="D71" s="37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8"/>
      <c r="B72" s="23"/>
      <c r="C72" s="23"/>
      <c r="D72" s="3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8"/>
      <c r="B73" s="23"/>
      <c r="C73" s="23"/>
      <c r="D73" s="3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8"/>
      <c r="B74" s="23"/>
      <c r="C74" s="23"/>
      <c r="D74" s="3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23"/>
      <c r="C75" s="2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23"/>
      <c r="C76" s="2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23"/>
      <c r="C77" s="2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23"/>
      <c r="C78" s="2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23"/>
      <c r="C79" s="2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23"/>
      <c r="C80" s="2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23"/>
      <c r="C81" s="2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23"/>
      <c r="C82" s="2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23"/>
      <c r="C83" s="2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23"/>
      <c r="C84" s="2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1.0" footer="0.0" header="0.0" left="0.75" right="0.75" top="1.0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57"/>
    <col customWidth="1" min="2" max="2" width="33.71"/>
  </cols>
  <sheetData>
    <row r="1">
      <c r="A1" s="14"/>
      <c r="F1" s="14"/>
    </row>
    <row r="2">
      <c r="A2" s="14" t="s">
        <v>89</v>
      </c>
    </row>
    <row r="3">
      <c r="F3" s="14"/>
    </row>
    <row r="4">
      <c r="A4" s="39" t="s">
        <v>90</v>
      </c>
      <c r="F4" s="14"/>
    </row>
    <row r="5">
      <c r="A5" s="14" t="s">
        <v>91</v>
      </c>
      <c r="C5" s="14" t="s">
        <v>92</v>
      </c>
      <c r="F5" s="14"/>
    </row>
    <row r="6">
      <c r="A6" s="14" t="s">
        <v>93</v>
      </c>
      <c r="F6" s="14"/>
    </row>
    <row r="7">
      <c r="A7" s="14" t="s">
        <v>94</v>
      </c>
      <c r="C7" s="40"/>
      <c r="F7" s="14"/>
    </row>
    <row r="8">
      <c r="A8" s="14" t="s">
        <v>95</v>
      </c>
      <c r="F8" s="14"/>
    </row>
    <row r="9">
      <c r="A9" s="14" t="s">
        <v>96</v>
      </c>
      <c r="F9" s="14"/>
    </row>
    <row r="10">
      <c r="A10" s="14" t="s">
        <v>97</v>
      </c>
      <c r="F10" s="14"/>
    </row>
    <row r="11">
      <c r="A11" s="14"/>
      <c r="F11" s="14"/>
    </row>
    <row r="12">
      <c r="F12" s="14"/>
    </row>
    <row r="13">
      <c r="A13" s="39">
        <v>40000.0</v>
      </c>
      <c r="F13" s="14"/>
    </row>
    <row r="14">
      <c r="B14" s="14"/>
      <c r="F14" s="14"/>
    </row>
    <row r="15">
      <c r="A15" s="14" t="s">
        <v>98</v>
      </c>
    </row>
    <row r="16">
      <c r="F16" s="14"/>
    </row>
    <row r="17">
      <c r="F17" s="1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6" width="9.0"/>
  </cols>
  <sheetData>
    <row r="1" ht="15.75" customHeight="1"/>
    <row r="2" ht="15.75" customHeight="1">
      <c r="A2" s="41"/>
    </row>
    <row r="3" ht="15.75" customHeight="1">
      <c r="A3" s="42" t="s">
        <v>99</v>
      </c>
      <c r="B3" s="43" t="s">
        <v>100</v>
      </c>
      <c r="C3" s="43" t="s">
        <v>101</v>
      </c>
      <c r="D3" s="43" t="s">
        <v>102</v>
      </c>
    </row>
    <row r="4" ht="15.75" customHeight="1">
      <c r="A4" s="42" t="s">
        <v>103</v>
      </c>
      <c r="B4" s="43">
        <v>400.0</v>
      </c>
      <c r="C4" s="44">
        <v>730.0</v>
      </c>
      <c r="D4" s="43">
        <f t="shared" ref="D4:D5" si="1">B4*C4</f>
        <v>292000</v>
      </c>
      <c r="I4" s="42"/>
      <c r="J4" s="43"/>
      <c r="K4" s="43"/>
      <c r="L4" s="43"/>
    </row>
    <row r="5" ht="15.75" customHeight="1">
      <c r="A5" s="42" t="s">
        <v>104</v>
      </c>
      <c r="B5" s="43">
        <f>150</f>
        <v>150</v>
      </c>
      <c r="C5" s="43">
        <v>100.0</v>
      </c>
      <c r="D5" s="43">
        <f t="shared" si="1"/>
        <v>15000</v>
      </c>
      <c r="I5" s="42"/>
      <c r="J5" s="44"/>
      <c r="K5" s="44"/>
      <c r="L5" s="43"/>
    </row>
    <row r="6" ht="15.75" customHeight="1">
      <c r="I6" s="42"/>
      <c r="J6" s="43"/>
      <c r="K6" s="43"/>
      <c r="L6" s="43"/>
    </row>
    <row r="7" ht="15.75" customHeight="1">
      <c r="A7" s="39" t="s">
        <v>105</v>
      </c>
      <c r="B7" s="39">
        <v>13.0</v>
      </c>
      <c r="C7" s="39">
        <f>C4+C5</f>
        <v>830</v>
      </c>
      <c r="D7" s="39">
        <f>B7*C7</f>
        <v>10790</v>
      </c>
    </row>
    <row r="8" ht="15.75" customHeight="1">
      <c r="I8" s="14"/>
      <c r="J8" s="14"/>
      <c r="K8" s="14"/>
      <c r="L8" s="14"/>
    </row>
    <row r="9" ht="15.75" customHeight="1">
      <c r="A9" s="45" t="s">
        <v>106</v>
      </c>
      <c r="B9" s="46"/>
      <c r="C9" s="47">
        <f>SUM(C4:C5)</f>
        <v>830</v>
      </c>
      <c r="D9" s="47">
        <f>SUM(D4:D5)-D7</f>
        <v>296210</v>
      </c>
    </row>
    <row r="10" ht="15.75" customHeight="1">
      <c r="I10" s="42"/>
      <c r="J10" s="14"/>
      <c r="K10" s="43"/>
      <c r="L10" s="43"/>
    </row>
    <row r="11" ht="15.75" customHeight="1"/>
    <row r="12" ht="15.75" customHeight="1"/>
    <row r="13" ht="15.75" customHeight="1">
      <c r="I13" s="42"/>
      <c r="J13" s="43"/>
      <c r="K13" s="43"/>
      <c r="L13" s="43"/>
    </row>
    <row r="14" ht="15.75" customHeight="1">
      <c r="I14" s="42"/>
      <c r="J14" s="44"/>
      <c r="K14" s="44"/>
      <c r="L14" s="43"/>
    </row>
    <row r="15" ht="15.75" customHeight="1">
      <c r="I15" s="42"/>
      <c r="J15" s="44"/>
      <c r="K15" s="43"/>
      <c r="L15" s="43"/>
    </row>
    <row r="16" ht="15.75" customHeight="1"/>
    <row r="17" ht="15.75" customHeight="1">
      <c r="I17" s="14"/>
      <c r="J17" s="14"/>
      <c r="K17" s="14"/>
      <c r="L17" s="14"/>
    </row>
    <row r="18" ht="15.75" customHeight="1"/>
    <row r="19" ht="15.75" customHeight="1">
      <c r="I19" s="42"/>
      <c r="J19" s="14"/>
      <c r="K19" s="43"/>
      <c r="L19" s="43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27.71"/>
    <col customWidth="1" min="3" max="3" width="10.43"/>
    <col customWidth="1" min="4" max="4" width="12.0"/>
    <col customWidth="1" min="5" max="6" width="10.43"/>
    <col customWidth="1" min="7" max="7" width="14.43"/>
    <col customWidth="1" min="8" max="8" width="9.14"/>
    <col customWidth="1" min="9" max="9" width="17.0"/>
    <col customWidth="1" min="10" max="10" width="11.71"/>
    <col customWidth="1" min="11" max="11" width="20.43"/>
    <col customWidth="1" min="12" max="14" width="9.0"/>
    <col customWidth="1" min="15" max="15" width="5.14"/>
    <col customWidth="1" min="16" max="16" width="19.57"/>
    <col customWidth="1" min="17" max="17" width="10.57"/>
    <col customWidth="1" min="18" max="18" width="3.43"/>
  </cols>
  <sheetData>
    <row r="1" ht="15.75" customHeight="1">
      <c r="A1" s="48"/>
      <c r="B1" s="48"/>
      <c r="C1" s="48"/>
      <c r="D1" s="48"/>
      <c r="E1" s="48"/>
      <c r="F1" s="48"/>
      <c r="G1" s="49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29.25" customHeight="1">
      <c r="A2" s="48"/>
      <c r="B2" s="50" t="s">
        <v>107</v>
      </c>
      <c r="C2" s="51" t="s">
        <v>108</v>
      </c>
      <c r="D2" s="51" t="s">
        <v>109</v>
      </c>
      <c r="E2" s="52" t="s">
        <v>110</v>
      </c>
      <c r="F2" s="51" t="s">
        <v>111</v>
      </c>
      <c r="G2" s="53" t="s">
        <v>112</v>
      </c>
      <c r="H2" s="51" t="s">
        <v>113</v>
      </c>
      <c r="I2" s="51" t="s">
        <v>114</v>
      </c>
      <c r="J2" s="53" t="s">
        <v>115</v>
      </c>
      <c r="K2" s="51" t="s">
        <v>116</v>
      </c>
      <c r="L2" s="48" t="s">
        <v>117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ht="15.75" customHeight="1">
      <c r="A3" s="48"/>
      <c r="B3" s="54" t="s">
        <v>118</v>
      </c>
      <c r="C3" s="55">
        <v>33.0</v>
      </c>
      <c r="D3" s="55">
        <v>2.0</v>
      </c>
      <c r="E3" s="55">
        <v>1.0</v>
      </c>
      <c r="F3" s="56"/>
      <c r="G3" s="57">
        <f t="shared" ref="G3:G8" si="1">(D3*C3*E3*$C$24)+(F3*D3*C3*$C$23)</f>
        <v>14784</v>
      </c>
      <c r="H3" s="58">
        <v>7.0</v>
      </c>
      <c r="I3" s="55">
        <f t="shared" ref="I3:I9" si="2">C27*2</f>
        <v>5600</v>
      </c>
      <c r="J3" s="57">
        <f t="shared" ref="J3:J10" si="3">H3*I3</f>
        <v>39200</v>
      </c>
      <c r="K3" s="59">
        <f t="shared" ref="K3:K8" si="4">-G3+J3</f>
        <v>24416</v>
      </c>
      <c r="L3" s="59">
        <f t="shared" ref="L3:L5" si="5">I3/(D3*C3)</f>
        <v>84.84848485</v>
      </c>
      <c r="M3" s="48"/>
      <c r="N3" s="48"/>
      <c r="O3" s="48"/>
      <c r="P3" s="48"/>
      <c r="R3" s="48"/>
      <c r="S3" s="48"/>
      <c r="T3" s="48"/>
      <c r="U3" s="48"/>
      <c r="V3" s="48"/>
      <c r="W3" s="48"/>
      <c r="X3" s="48"/>
      <c r="Y3" s="48"/>
      <c r="Z3" s="48"/>
    </row>
    <row r="4" ht="15.75" customHeight="1">
      <c r="A4" s="48"/>
      <c r="B4" s="54" t="s">
        <v>119</v>
      </c>
      <c r="C4" s="55">
        <v>33.0</v>
      </c>
      <c r="D4" s="60">
        <v>1.5</v>
      </c>
      <c r="E4" s="55">
        <v>2.0</v>
      </c>
      <c r="F4" s="55"/>
      <c r="G4" s="57">
        <f t="shared" si="1"/>
        <v>22176</v>
      </c>
      <c r="H4" s="58">
        <v>13.0</v>
      </c>
      <c r="I4" s="55">
        <f t="shared" si="2"/>
        <v>4600</v>
      </c>
      <c r="J4" s="57">
        <f t="shared" si="3"/>
        <v>59800</v>
      </c>
      <c r="K4" s="59">
        <f t="shared" si="4"/>
        <v>37624</v>
      </c>
      <c r="L4" s="59">
        <f t="shared" si="5"/>
        <v>92.92929293</v>
      </c>
      <c r="M4" s="48"/>
      <c r="N4" s="48"/>
      <c r="O4" s="48"/>
      <c r="P4" s="48"/>
      <c r="R4" s="48"/>
      <c r="S4" s="48"/>
      <c r="T4" s="48"/>
      <c r="U4" s="48"/>
      <c r="V4" s="48"/>
      <c r="W4" s="48"/>
      <c r="X4" s="48"/>
      <c r="Y4" s="48"/>
      <c r="Z4" s="48"/>
    </row>
    <row r="5" ht="15.75" customHeight="1">
      <c r="A5" s="48"/>
      <c r="B5" s="54" t="s">
        <v>120</v>
      </c>
      <c r="C5" s="55">
        <v>33.0</v>
      </c>
      <c r="D5" s="55">
        <v>1.25</v>
      </c>
      <c r="E5" s="55">
        <v>1.0</v>
      </c>
      <c r="F5" s="56"/>
      <c r="G5" s="61">
        <f t="shared" si="1"/>
        <v>9240</v>
      </c>
      <c r="H5" s="55">
        <v>7.0</v>
      </c>
      <c r="I5" s="55">
        <f t="shared" si="2"/>
        <v>3600</v>
      </c>
      <c r="J5" s="57">
        <f t="shared" si="3"/>
        <v>25200</v>
      </c>
      <c r="K5" s="59">
        <f t="shared" si="4"/>
        <v>15960</v>
      </c>
      <c r="L5" s="59">
        <f t="shared" si="5"/>
        <v>87.27272727</v>
      </c>
      <c r="M5" s="48"/>
      <c r="N5" s="48"/>
      <c r="O5" s="48"/>
      <c r="P5" s="62" t="s">
        <v>121</v>
      </c>
      <c r="Q5" s="63"/>
      <c r="R5" s="64"/>
      <c r="T5" s="48"/>
      <c r="U5" s="48"/>
      <c r="V5" s="48"/>
      <c r="W5" s="48"/>
      <c r="X5" s="48"/>
      <c r="Y5" s="48"/>
      <c r="Z5" s="48"/>
    </row>
    <row r="6" ht="15.75" customHeight="1">
      <c r="A6" s="48"/>
      <c r="B6" s="54" t="s">
        <v>122</v>
      </c>
      <c r="C6" s="56">
        <v>35.0</v>
      </c>
      <c r="D6" s="56">
        <v>2.0</v>
      </c>
      <c r="E6" s="65">
        <v>2.0</v>
      </c>
      <c r="F6" s="56">
        <v>2.0</v>
      </c>
      <c r="G6" s="57">
        <f t="shared" si="1"/>
        <v>65856</v>
      </c>
      <c r="H6" s="55">
        <v>8.5</v>
      </c>
      <c r="I6" s="55">
        <f t="shared" si="2"/>
        <v>7400</v>
      </c>
      <c r="J6" s="57">
        <f t="shared" si="3"/>
        <v>62900</v>
      </c>
      <c r="K6" s="59">
        <f t="shared" si="4"/>
        <v>-2956</v>
      </c>
      <c r="L6" s="59">
        <f>I6/(4*C6)</f>
        <v>52.85714286</v>
      </c>
      <c r="M6" s="48"/>
      <c r="N6" s="48"/>
      <c r="O6" s="48"/>
      <c r="P6" s="66" t="s">
        <v>123</v>
      </c>
      <c r="Q6" s="48"/>
      <c r="R6" s="67"/>
      <c r="T6" s="48"/>
      <c r="U6" s="48"/>
      <c r="V6" s="48"/>
      <c r="W6" s="48"/>
      <c r="X6" s="48"/>
      <c r="Y6" s="48"/>
      <c r="Z6" s="48"/>
    </row>
    <row r="7" ht="15.75" customHeight="1">
      <c r="A7" s="48"/>
      <c r="B7" s="54" t="s">
        <v>124</v>
      </c>
      <c r="C7" s="56">
        <v>33.0</v>
      </c>
      <c r="D7" s="56">
        <v>1.25</v>
      </c>
      <c r="E7" s="56">
        <v>2.0</v>
      </c>
      <c r="F7" s="56"/>
      <c r="G7" s="61">
        <f t="shared" si="1"/>
        <v>18480</v>
      </c>
      <c r="H7" s="55">
        <v>14.0</v>
      </c>
      <c r="I7" s="55">
        <f t="shared" si="2"/>
        <v>3600</v>
      </c>
      <c r="J7" s="57">
        <f t="shared" si="3"/>
        <v>50400</v>
      </c>
      <c r="K7" s="59">
        <f t="shared" si="4"/>
        <v>31920</v>
      </c>
      <c r="L7" s="59">
        <f t="shared" ref="L7:L8" si="6">I7/(D7*C7)</f>
        <v>87.27272727</v>
      </c>
      <c r="M7" s="48"/>
      <c r="N7" s="48"/>
      <c r="O7" s="48"/>
      <c r="P7" s="66"/>
      <c r="Q7" s="48"/>
      <c r="R7" s="67"/>
      <c r="T7" s="48"/>
      <c r="U7" s="48"/>
      <c r="V7" s="48"/>
      <c r="W7" s="48"/>
      <c r="X7" s="48"/>
      <c r="Y7" s="48"/>
      <c r="Z7" s="48"/>
    </row>
    <row r="8" ht="15.75" customHeight="1">
      <c r="A8" s="48"/>
      <c r="B8" s="54" t="s">
        <v>125</v>
      </c>
      <c r="C8" s="56">
        <v>33.0</v>
      </c>
      <c r="D8" s="56">
        <v>1.5</v>
      </c>
      <c r="E8" s="56">
        <v>1.0</v>
      </c>
      <c r="F8" s="56"/>
      <c r="G8" s="57">
        <f t="shared" si="1"/>
        <v>11088</v>
      </c>
      <c r="H8" s="55">
        <v>9.0</v>
      </c>
      <c r="I8" s="55">
        <f t="shared" si="2"/>
        <v>2400</v>
      </c>
      <c r="J8" s="57">
        <f t="shared" si="3"/>
        <v>21600</v>
      </c>
      <c r="K8" s="59">
        <f t="shared" si="4"/>
        <v>10512</v>
      </c>
      <c r="L8" s="59">
        <f t="shared" si="6"/>
        <v>48.48484848</v>
      </c>
      <c r="M8" s="48"/>
      <c r="N8" s="48"/>
      <c r="O8" s="48"/>
      <c r="P8" s="68" t="s">
        <v>126</v>
      </c>
      <c r="Q8" s="48"/>
      <c r="R8" s="67"/>
      <c r="T8" s="48"/>
      <c r="U8" s="48"/>
      <c r="V8" s="48"/>
      <c r="W8" s="48"/>
      <c r="X8" s="48"/>
      <c r="Y8" s="48"/>
      <c r="Z8" s="48"/>
    </row>
    <row r="9" ht="15.75" customHeight="1">
      <c r="A9" s="48"/>
      <c r="B9" s="69" t="s">
        <v>127</v>
      </c>
      <c r="C9" s="70"/>
      <c r="D9" s="70"/>
      <c r="E9" s="70"/>
      <c r="F9" s="70"/>
      <c r="G9" s="70"/>
      <c r="H9" s="71">
        <v>1.0</v>
      </c>
      <c r="I9" s="72">
        <f t="shared" si="2"/>
        <v>8000</v>
      </c>
      <c r="J9" s="73">
        <f t="shared" si="3"/>
        <v>8000</v>
      </c>
      <c r="K9" s="74">
        <v>3700.0</v>
      </c>
      <c r="L9" s="59">
        <f>I9/(C4*3.5)</f>
        <v>69.26406926</v>
      </c>
      <c r="M9" s="48"/>
      <c r="N9" s="48"/>
      <c r="O9" s="48"/>
      <c r="P9" s="66" t="s">
        <v>128</v>
      </c>
      <c r="Q9" s="75">
        <v>9.0</v>
      </c>
      <c r="R9" s="67"/>
      <c r="T9" s="48"/>
      <c r="U9" s="48"/>
      <c r="V9" s="48"/>
      <c r="W9" s="48"/>
      <c r="X9" s="48"/>
      <c r="Y9" s="48"/>
      <c r="Z9" s="48"/>
    </row>
    <row r="10" ht="15.75" customHeight="1">
      <c r="A10" s="48"/>
      <c r="B10" s="76" t="s">
        <v>129</v>
      </c>
      <c r="C10" s="77">
        <v>33.0</v>
      </c>
      <c r="D10" s="77">
        <v>2.0</v>
      </c>
      <c r="E10" s="77">
        <v>1.0</v>
      </c>
      <c r="F10" s="77">
        <v>1.0</v>
      </c>
      <c r="G10" s="78">
        <v>0.0</v>
      </c>
      <c r="H10" s="77">
        <v>15.0</v>
      </c>
      <c r="I10" s="77">
        <f>C34*H10</f>
        <v>0</v>
      </c>
      <c r="J10" s="79">
        <f t="shared" si="3"/>
        <v>0</v>
      </c>
      <c r="K10" s="80">
        <f>-G10+J10</f>
        <v>0</v>
      </c>
      <c r="L10" s="80"/>
      <c r="M10" s="48"/>
      <c r="N10" s="48"/>
      <c r="O10" s="48"/>
      <c r="P10" s="66" t="s">
        <v>130</v>
      </c>
      <c r="Q10" s="48">
        <v>5.0</v>
      </c>
      <c r="R10" s="67"/>
      <c r="T10" s="48"/>
      <c r="U10" s="48"/>
      <c r="V10" s="48"/>
      <c r="W10" s="48"/>
      <c r="X10" s="48"/>
      <c r="Y10" s="48"/>
      <c r="Z10" s="48"/>
    </row>
    <row r="11" ht="15.75" customHeight="1">
      <c r="A11" s="48"/>
      <c r="B11" s="81" t="s">
        <v>131</v>
      </c>
      <c r="C11" s="48"/>
      <c r="D11" s="48"/>
      <c r="E11" s="48"/>
      <c r="F11" s="48">
        <v>6.0</v>
      </c>
      <c r="G11" s="48">
        <f>F11*C23</f>
        <v>1478.4</v>
      </c>
      <c r="H11" s="48"/>
      <c r="I11" s="48"/>
      <c r="J11" s="48"/>
      <c r="K11" s="48"/>
      <c r="L11" s="82"/>
      <c r="M11" s="48"/>
      <c r="N11" s="48"/>
      <c r="O11" s="48"/>
      <c r="P11" s="83" t="s">
        <v>132</v>
      </c>
      <c r="Q11" s="75">
        <v>350.0</v>
      </c>
      <c r="R11" s="67"/>
      <c r="T11" s="48"/>
      <c r="U11" s="48"/>
      <c r="V11" s="48"/>
      <c r="W11" s="48"/>
      <c r="X11" s="48"/>
      <c r="Y11" s="48"/>
      <c r="Z11" s="48"/>
    </row>
    <row r="12" ht="15.75" customHeight="1">
      <c r="A12" s="48"/>
      <c r="B12" s="84" t="s">
        <v>133</v>
      </c>
      <c r="C12" s="85">
        <v>2.0</v>
      </c>
      <c r="D12" s="85">
        <v>2.0</v>
      </c>
      <c r="E12" s="85">
        <v>10.0</v>
      </c>
      <c r="F12" s="85">
        <v>2.0</v>
      </c>
      <c r="G12" s="86">
        <f>(D12*C12*E12*$C$24)+(F12*D12*C12*$C$23)</f>
        <v>10931.2</v>
      </c>
      <c r="H12" s="85"/>
      <c r="I12" s="85"/>
      <c r="J12" s="86"/>
      <c r="K12" s="87"/>
      <c r="L12" s="88"/>
      <c r="M12" s="48"/>
      <c r="N12" s="48"/>
      <c r="O12" s="48"/>
      <c r="P12" s="66" t="s">
        <v>134</v>
      </c>
      <c r="Q12" s="48">
        <v>6.0</v>
      </c>
      <c r="R12" s="67"/>
      <c r="T12" s="48"/>
      <c r="U12" s="48"/>
      <c r="V12" s="48"/>
      <c r="W12" s="48"/>
      <c r="X12" s="48"/>
      <c r="Y12" s="48"/>
      <c r="Z12" s="48"/>
    </row>
    <row r="13" ht="15.75" customHeight="1">
      <c r="A13" s="48"/>
      <c r="B13" s="89" t="s">
        <v>135</v>
      </c>
      <c r="C13" s="89"/>
      <c r="D13" s="89"/>
      <c r="E13" s="89"/>
      <c r="F13" s="89"/>
      <c r="G13" s="90">
        <f>SUM(G3:G12)</f>
        <v>154033.6</v>
      </c>
      <c r="H13" s="91">
        <f>SUM(H3:H10)</f>
        <v>74.5</v>
      </c>
      <c r="I13" s="89"/>
      <c r="J13" s="92">
        <f>SUM(J3:J10)+J19</f>
        <v>263100</v>
      </c>
      <c r="K13" s="93">
        <f>J13-G13</f>
        <v>109066.4</v>
      </c>
      <c r="L13" s="94"/>
      <c r="M13" s="48"/>
      <c r="N13" s="48"/>
      <c r="O13" s="48"/>
      <c r="P13" s="66" t="s">
        <v>136</v>
      </c>
      <c r="Q13" s="48">
        <f>Q10*Q11*Q12</f>
        <v>10500</v>
      </c>
      <c r="R13" s="67"/>
      <c r="T13" s="48"/>
      <c r="U13" s="48"/>
      <c r="V13" s="48"/>
      <c r="W13" s="48"/>
      <c r="X13" s="48"/>
      <c r="Y13" s="48"/>
      <c r="Z13" s="48"/>
    </row>
    <row r="14" ht="15.75" customHeight="1">
      <c r="A14" s="48"/>
      <c r="B14" s="54"/>
      <c r="C14" s="95"/>
      <c r="D14" s="95"/>
      <c r="E14" s="96"/>
      <c r="F14" s="95"/>
      <c r="G14" s="97"/>
      <c r="H14" s="60"/>
      <c r="I14" s="60"/>
      <c r="J14" s="97"/>
      <c r="K14" s="48"/>
      <c r="L14" s="48"/>
      <c r="M14" s="48"/>
      <c r="N14" s="48"/>
      <c r="O14" s="48"/>
      <c r="P14" s="66"/>
      <c r="Q14" s="48"/>
      <c r="R14" s="67"/>
      <c r="T14" s="48"/>
      <c r="U14" s="48"/>
      <c r="V14" s="48"/>
      <c r="W14" s="48"/>
      <c r="X14" s="48"/>
      <c r="Y14" s="48"/>
      <c r="Z14" s="48"/>
    </row>
    <row r="15" ht="15.75" customHeight="1">
      <c r="A15" s="48"/>
      <c r="C15" s="60"/>
      <c r="D15" s="60"/>
      <c r="E15" s="60"/>
      <c r="F15" s="60"/>
      <c r="G15" s="97"/>
      <c r="I15" s="60"/>
      <c r="K15" s="48"/>
      <c r="L15" s="48"/>
      <c r="M15" s="48"/>
      <c r="N15" s="48"/>
      <c r="O15" s="48"/>
      <c r="P15" s="68" t="s">
        <v>137</v>
      </c>
      <c r="Q15" s="48"/>
      <c r="R15" s="67"/>
      <c r="T15" s="48"/>
      <c r="U15" s="48"/>
      <c r="V15" s="48"/>
      <c r="W15" s="48"/>
      <c r="X15" s="48"/>
      <c r="Y15" s="48"/>
      <c r="Z15" s="48"/>
    </row>
    <row r="16" ht="23.25" customHeight="1">
      <c r="A16" s="48"/>
      <c r="I16" s="54" t="s">
        <v>138</v>
      </c>
      <c r="J16" s="55">
        <f>K13</f>
        <v>109066.4</v>
      </c>
      <c r="L16" s="48"/>
      <c r="M16" s="48"/>
      <c r="N16" s="48"/>
      <c r="O16" s="48"/>
      <c r="P16" s="66" t="s">
        <v>139</v>
      </c>
      <c r="Q16" s="48">
        <v>130.0</v>
      </c>
      <c r="R16" s="67"/>
      <c r="T16" s="48"/>
      <c r="U16" s="48"/>
      <c r="V16" s="48"/>
      <c r="W16" s="48"/>
      <c r="X16" s="48"/>
      <c r="Y16" s="48"/>
      <c r="Z16" s="48"/>
    </row>
    <row r="17" ht="18.0" customHeight="1">
      <c r="A17" s="48"/>
      <c r="L17" s="48"/>
      <c r="M17" s="48"/>
      <c r="N17" s="48"/>
      <c r="O17" s="48"/>
      <c r="P17" s="66" t="s">
        <v>113</v>
      </c>
      <c r="Q17" s="75">
        <v>8.0</v>
      </c>
      <c r="R17" s="67"/>
      <c r="T17" s="48"/>
      <c r="U17" s="48"/>
      <c r="V17" s="48"/>
      <c r="W17" s="48"/>
      <c r="X17" s="48"/>
      <c r="Y17" s="48"/>
      <c r="Z17" s="48"/>
    </row>
    <row r="18" ht="15.75" customHeight="1">
      <c r="A18" s="48"/>
      <c r="I18" s="98" t="s">
        <v>140</v>
      </c>
      <c r="L18" s="48"/>
      <c r="M18" s="48"/>
      <c r="N18" s="48"/>
      <c r="O18" s="48"/>
      <c r="P18" s="66" t="s">
        <v>141</v>
      </c>
      <c r="Q18" s="48">
        <v>6.0</v>
      </c>
      <c r="R18" s="67"/>
      <c r="T18" s="48"/>
      <c r="U18" s="48"/>
      <c r="V18" s="48"/>
      <c r="W18" s="48"/>
      <c r="X18" s="48"/>
      <c r="Y18" s="48"/>
      <c r="Z18" s="48"/>
    </row>
    <row r="19">
      <c r="A19" s="48"/>
      <c r="B19" s="54"/>
      <c r="C19" s="54"/>
      <c r="D19" s="54"/>
      <c r="E19" s="54"/>
      <c r="F19" s="54"/>
      <c r="G19" s="99"/>
      <c r="H19" s="54"/>
      <c r="I19" s="54" t="s">
        <v>142</v>
      </c>
      <c r="J19" s="60">
        <v>-4000.0</v>
      </c>
      <c r="K19" s="100"/>
      <c r="L19" s="48"/>
      <c r="M19" s="48"/>
      <c r="N19" s="48"/>
      <c r="O19" s="48"/>
      <c r="P19" s="66" t="s">
        <v>136</v>
      </c>
      <c r="Q19" s="48">
        <f>Q16*Q17*Q18</f>
        <v>6240</v>
      </c>
      <c r="R19" s="67"/>
      <c r="T19" s="48"/>
      <c r="U19" s="48"/>
      <c r="V19" s="48"/>
      <c r="W19" s="48"/>
      <c r="X19" s="48"/>
      <c r="Y19" s="48"/>
      <c r="Z19" s="48"/>
    </row>
    <row r="20" ht="28.5" customHeight="1">
      <c r="A20" s="48"/>
      <c r="E20" s="54"/>
      <c r="F20" s="54"/>
      <c r="G20" s="101"/>
      <c r="H20" s="54"/>
      <c r="I20" s="54" t="s">
        <v>143</v>
      </c>
      <c r="J20" s="54">
        <f>Q21</f>
        <v>-16740</v>
      </c>
      <c r="K20" s="54"/>
      <c r="L20" s="48"/>
      <c r="M20" s="48"/>
      <c r="N20" s="48"/>
      <c r="O20" s="48"/>
      <c r="P20" s="66"/>
      <c r="Q20" s="48"/>
      <c r="R20" s="67"/>
      <c r="T20" s="48"/>
      <c r="U20" s="48"/>
      <c r="V20" s="48"/>
      <c r="W20" s="48"/>
      <c r="X20" s="48"/>
      <c r="Y20" s="48"/>
      <c r="Z20" s="48"/>
    </row>
    <row r="21" ht="59.25" customHeight="1">
      <c r="A21" s="48"/>
      <c r="B21" s="102" t="s">
        <v>144</v>
      </c>
      <c r="C21" s="103"/>
      <c r="D21" s="104"/>
      <c r="E21" s="54"/>
      <c r="F21" s="54"/>
      <c r="G21" s="101"/>
      <c r="H21" s="105"/>
      <c r="I21" s="106" t="s">
        <v>145</v>
      </c>
      <c r="J21" s="60">
        <v>-26000.0</v>
      </c>
      <c r="K21" s="107" t="s">
        <v>146</v>
      </c>
      <c r="L21" s="108"/>
      <c r="M21" s="48"/>
      <c r="N21" s="48"/>
      <c r="O21" s="48"/>
      <c r="P21" s="109" t="s">
        <v>147</v>
      </c>
      <c r="Q21" s="87">
        <f>(Q13+Q19)*-1</f>
        <v>-16740</v>
      </c>
      <c r="R21" s="110"/>
      <c r="T21" s="48"/>
      <c r="U21" s="48"/>
      <c r="V21" s="48"/>
      <c r="W21" s="48"/>
      <c r="X21" s="48"/>
      <c r="Y21" s="48"/>
      <c r="Z21" s="48"/>
    </row>
    <row r="22" ht="15.75" customHeight="1">
      <c r="A22" s="48"/>
      <c r="B22" s="111" t="s">
        <v>148</v>
      </c>
      <c r="C22" s="54"/>
      <c r="D22" s="112"/>
      <c r="E22" s="54"/>
      <c r="F22" s="54"/>
      <c r="G22" s="101"/>
      <c r="H22" s="105"/>
      <c r="I22" s="106" t="s">
        <v>149</v>
      </c>
      <c r="J22" s="60">
        <v>-36000.0</v>
      </c>
      <c r="K22" s="113" t="s">
        <v>150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5.75" customHeight="1">
      <c r="A23" s="48"/>
      <c r="B23" s="114" t="s">
        <v>151</v>
      </c>
      <c r="C23" s="60">
        <f>220*(1+feriepengesats)</f>
        <v>246.4</v>
      </c>
      <c r="D23" s="112"/>
      <c r="E23" s="54"/>
      <c r="F23" s="54"/>
      <c r="G23" s="101"/>
      <c r="H23" s="105"/>
      <c r="I23" s="106" t="s">
        <v>152</v>
      </c>
      <c r="J23" s="60">
        <v>-5000.0</v>
      </c>
      <c r="K23" s="75" t="s">
        <v>153</v>
      </c>
      <c r="M23" s="113"/>
      <c r="N23" s="113"/>
      <c r="O23" s="113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5.75" customHeight="1">
      <c r="A24" s="48"/>
      <c r="B24" s="114" t="s">
        <v>154</v>
      </c>
      <c r="C24" s="60">
        <f>200*(1+feriepengesats)</f>
        <v>224</v>
      </c>
      <c r="D24" s="112"/>
      <c r="E24" s="54"/>
      <c r="F24" s="54"/>
      <c r="G24" s="101"/>
      <c r="H24" s="105"/>
      <c r="I24" s="106" t="s">
        <v>155</v>
      </c>
      <c r="J24" s="60">
        <v>-4000.0</v>
      </c>
      <c r="K24" s="115" t="s">
        <v>156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22.5" customHeight="1">
      <c r="A25" s="48"/>
      <c r="B25" s="114"/>
      <c r="C25" s="54"/>
      <c r="D25" s="112"/>
      <c r="E25" s="54"/>
      <c r="F25" s="54"/>
      <c r="G25" s="101"/>
      <c r="I25" s="54" t="s">
        <v>157</v>
      </c>
      <c r="J25" s="116">
        <v>-8000.0</v>
      </c>
      <c r="K25" s="48" t="s">
        <v>158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5.75" customHeight="1">
      <c r="A26" s="48"/>
      <c r="B26" s="117" t="s">
        <v>159</v>
      </c>
      <c r="C26" s="118"/>
      <c r="D26" s="119" t="s">
        <v>160</v>
      </c>
      <c r="E26" s="54"/>
      <c r="F26" s="54"/>
      <c r="G26" s="99"/>
      <c r="H26" s="105"/>
      <c r="I26" s="54" t="s">
        <v>161</v>
      </c>
      <c r="J26" s="116">
        <v>-4000.0</v>
      </c>
      <c r="K26" s="120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5.75" customHeight="1">
      <c r="A27" s="48"/>
      <c r="B27" s="121" t="s">
        <v>162</v>
      </c>
      <c r="C27" s="48">
        <v>2800.0</v>
      </c>
      <c r="D27" s="122">
        <v>200.0</v>
      </c>
      <c r="E27" s="54"/>
      <c r="F27" s="54"/>
      <c r="G27" s="99"/>
      <c r="H27" s="54"/>
      <c r="I27" s="54" t="s">
        <v>163</v>
      </c>
      <c r="J27" s="116">
        <v>-4000.0</v>
      </c>
      <c r="K27" s="123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5.75" customHeight="1">
      <c r="A28" s="48"/>
      <c r="B28" s="121" t="s">
        <v>119</v>
      </c>
      <c r="C28" s="48">
        <v>2300.0</v>
      </c>
      <c r="D28" s="122">
        <v>150.0</v>
      </c>
      <c r="E28" s="54"/>
      <c r="F28" s="54"/>
      <c r="G28" s="99"/>
      <c r="H28" s="54"/>
      <c r="I28" s="124" t="s">
        <v>164</v>
      </c>
      <c r="J28" s="125">
        <f>SUM(J16:J27)</f>
        <v>1326.4</v>
      </c>
      <c r="K28" s="54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5.75" customHeight="1">
      <c r="A29" s="48"/>
      <c r="B29" s="121" t="s">
        <v>120</v>
      </c>
      <c r="C29" s="48">
        <v>1800.0</v>
      </c>
      <c r="D29" s="126">
        <v>150.0</v>
      </c>
      <c r="E29" s="48"/>
      <c r="F29" s="48"/>
      <c r="G29" s="48"/>
      <c r="H29" s="54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5.75" customHeight="1">
      <c r="A30" s="48"/>
      <c r="B30" s="121" t="s">
        <v>122</v>
      </c>
      <c r="C30" s="48">
        <v>3700.0</v>
      </c>
      <c r="D30" s="126">
        <v>200.0</v>
      </c>
      <c r="E30" s="48"/>
      <c r="F30" s="48"/>
      <c r="G30" s="48"/>
      <c r="H30" s="48"/>
      <c r="I30" s="48"/>
      <c r="J30" s="48"/>
      <c r="K30" s="48"/>
      <c r="L30" s="48"/>
      <c r="R30" s="48"/>
      <c r="S30" s="48"/>
      <c r="T30" s="48"/>
      <c r="U30" s="48"/>
      <c r="V30" s="48"/>
      <c r="W30" s="48"/>
      <c r="X30" s="48"/>
      <c r="Y30" s="48"/>
      <c r="Z30" s="48"/>
    </row>
    <row r="31" ht="15.75" customHeight="1">
      <c r="A31" s="48"/>
      <c r="B31" s="121" t="s">
        <v>165</v>
      </c>
      <c r="C31" s="48">
        <v>1800.0</v>
      </c>
      <c r="D31" s="126">
        <v>150.0</v>
      </c>
      <c r="E31" s="48"/>
      <c r="F31" s="113"/>
      <c r="G31" s="127"/>
      <c r="H31" s="127"/>
      <c r="I31" s="128" t="s">
        <v>166</v>
      </c>
      <c r="J31" s="127"/>
      <c r="K31" s="113"/>
      <c r="L31" s="113"/>
      <c r="R31" s="48"/>
      <c r="S31" s="48"/>
      <c r="T31" s="48"/>
      <c r="U31" s="48"/>
      <c r="V31" s="48"/>
      <c r="W31" s="48"/>
      <c r="X31" s="48"/>
      <c r="Y31" s="48"/>
      <c r="Z31" s="48"/>
    </row>
    <row r="32" ht="15.75" customHeight="1">
      <c r="A32" s="48"/>
      <c r="B32" s="121" t="s">
        <v>167</v>
      </c>
      <c r="C32" s="48">
        <v>1200.0</v>
      </c>
      <c r="D32" s="126">
        <v>200.0</v>
      </c>
      <c r="E32" s="48"/>
      <c r="F32" s="113"/>
      <c r="G32" s="129"/>
      <c r="H32" s="113"/>
      <c r="I32" s="130"/>
      <c r="J32" s="113"/>
      <c r="K32" s="113"/>
      <c r="L32" s="113"/>
      <c r="R32" s="48"/>
      <c r="S32" s="48"/>
      <c r="T32" s="48"/>
      <c r="U32" s="48"/>
      <c r="V32" s="48"/>
      <c r="W32" s="48"/>
      <c r="X32" s="48"/>
      <c r="Y32" s="48"/>
      <c r="Z32" s="48"/>
    </row>
    <row r="33" ht="15.75" customHeight="1">
      <c r="A33" s="48"/>
      <c r="B33" s="121" t="s">
        <v>127</v>
      </c>
      <c r="C33" s="48">
        <v>4000.0</v>
      </c>
      <c r="D33" s="126">
        <v>300.0</v>
      </c>
      <c r="E33" s="48"/>
      <c r="F33" s="113"/>
      <c r="G33" s="113"/>
      <c r="I33" s="113"/>
      <c r="J33" s="113"/>
      <c r="K33" s="131"/>
      <c r="L33" s="113"/>
      <c r="R33" s="48"/>
      <c r="S33" s="48"/>
      <c r="T33" s="48"/>
      <c r="U33" s="48"/>
      <c r="V33" s="48"/>
      <c r="W33" s="48"/>
      <c r="X33" s="48"/>
      <c r="Y33" s="48"/>
      <c r="Z33" s="48"/>
    </row>
    <row r="34" ht="15.75" customHeight="1">
      <c r="A34" s="48"/>
      <c r="B34" s="132" t="s">
        <v>168</v>
      </c>
      <c r="C34" s="94">
        <v>0.0</v>
      </c>
      <c r="D34" s="133"/>
      <c r="E34" s="48"/>
      <c r="F34" s="113"/>
      <c r="G34" s="113"/>
      <c r="I34" s="113"/>
      <c r="J34" s="113"/>
      <c r="K34" s="113"/>
      <c r="L34" s="113"/>
      <c r="R34" s="48"/>
      <c r="S34" s="48"/>
      <c r="T34" s="48"/>
      <c r="U34" s="48"/>
      <c r="V34" s="48"/>
      <c r="W34" s="48"/>
      <c r="X34" s="48"/>
      <c r="Y34" s="48"/>
      <c r="Z34" s="48"/>
    </row>
    <row r="35" ht="15.75" customHeight="1">
      <c r="A35" s="48"/>
      <c r="B35" s="48"/>
      <c r="C35" s="48"/>
      <c r="D35" s="48"/>
      <c r="E35" s="48"/>
      <c r="F35" s="113"/>
      <c r="G35" s="14"/>
      <c r="K35" s="14"/>
      <c r="L35" s="113"/>
      <c r="R35" s="48"/>
      <c r="S35" s="48"/>
      <c r="T35" s="48"/>
      <c r="U35" s="48"/>
      <c r="V35" s="48"/>
      <c r="W35" s="48"/>
      <c r="X35" s="48"/>
      <c r="Y35" s="48"/>
      <c r="Z35" s="48"/>
    </row>
    <row r="36" ht="15.75" customHeight="1">
      <c r="A36" s="48"/>
      <c r="B36" s="48"/>
      <c r="C36" s="48"/>
      <c r="D36" s="48"/>
      <c r="E36" s="48"/>
      <c r="F36" s="113"/>
      <c r="G36" s="113"/>
      <c r="H36" s="113"/>
      <c r="I36" s="113"/>
      <c r="J36" s="113"/>
      <c r="K36" s="131"/>
      <c r="L36" s="113"/>
      <c r="S36" s="48"/>
      <c r="T36" s="48"/>
      <c r="U36" s="48"/>
      <c r="V36" s="48"/>
      <c r="W36" s="48"/>
      <c r="X36" s="48"/>
      <c r="Y36" s="48"/>
      <c r="Z36" s="48"/>
    </row>
    <row r="37" ht="15.75" customHeight="1">
      <c r="A37" s="48"/>
      <c r="B37" s="48"/>
      <c r="C37" s="48"/>
      <c r="D37" s="48"/>
      <c r="E37" s="48"/>
      <c r="F37" s="113"/>
      <c r="G37" s="14"/>
      <c r="K37" s="14"/>
      <c r="L37" s="113"/>
      <c r="R37" s="48"/>
      <c r="S37" s="48"/>
      <c r="T37" s="48"/>
      <c r="U37" s="48"/>
      <c r="V37" s="48"/>
      <c r="W37" s="48"/>
      <c r="X37" s="48"/>
      <c r="Y37" s="48"/>
      <c r="Z37" s="48"/>
    </row>
    <row r="38" ht="15.75" customHeight="1">
      <c r="A38" s="48"/>
      <c r="B38" s="48"/>
      <c r="C38" s="48"/>
      <c r="D38" s="48"/>
      <c r="E38" s="48"/>
      <c r="F38" s="113"/>
      <c r="G38" s="129"/>
      <c r="H38" s="113"/>
      <c r="I38" s="113"/>
      <c r="J38" s="113"/>
      <c r="K38" s="113"/>
      <c r="L38" s="113"/>
      <c r="R38" s="48"/>
      <c r="S38" s="48"/>
      <c r="T38" s="48"/>
      <c r="U38" s="48"/>
      <c r="V38" s="48"/>
      <c r="W38" s="48"/>
      <c r="X38" s="48"/>
      <c r="Y38" s="48"/>
      <c r="Z38" s="48"/>
    </row>
    <row r="39" ht="15.75" customHeight="1">
      <c r="A39" s="48"/>
      <c r="B39" s="48"/>
      <c r="C39" s="48"/>
      <c r="D39" s="48"/>
      <c r="E39" s="48"/>
      <c r="F39" s="113"/>
      <c r="G39" s="113"/>
      <c r="I39" s="113"/>
      <c r="J39" s="113"/>
      <c r="K39" s="113"/>
      <c r="L39" s="113"/>
      <c r="R39" s="48"/>
      <c r="S39" s="48"/>
      <c r="T39" s="48"/>
      <c r="U39" s="48"/>
      <c r="V39" s="48"/>
      <c r="W39" s="48"/>
      <c r="X39" s="48"/>
      <c r="Y39" s="48"/>
      <c r="Z39" s="48"/>
    </row>
    <row r="40" ht="15.75" customHeight="1">
      <c r="A40" s="48"/>
      <c r="B40" s="48"/>
      <c r="C40" s="48"/>
      <c r="D40" s="48"/>
      <c r="E40" s="48"/>
      <c r="F40" s="113"/>
      <c r="G40" s="113"/>
      <c r="I40" s="113"/>
      <c r="J40" s="113"/>
      <c r="K40" s="113"/>
      <c r="L40" s="113"/>
      <c r="R40" s="48"/>
      <c r="S40" s="48"/>
      <c r="T40" s="48"/>
      <c r="U40" s="48"/>
      <c r="V40" s="48"/>
      <c r="W40" s="48"/>
      <c r="X40" s="48"/>
      <c r="Y40" s="48"/>
      <c r="Z40" s="48"/>
    </row>
    <row r="41" ht="15.75" customHeight="1">
      <c r="A41" s="48"/>
      <c r="B41" s="48"/>
      <c r="C41" s="48"/>
      <c r="D41" s="48"/>
      <c r="E41" s="48"/>
      <c r="F41" s="113"/>
      <c r="G41" s="113"/>
      <c r="I41" s="113"/>
      <c r="J41" s="113"/>
      <c r="K41" s="113"/>
      <c r="L41" s="113"/>
      <c r="R41" s="48"/>
      <c r="S41" s="48"/>
      <c r="T41" s="48"/>
      <c r="U41" s="48"/>
      <c r="V41" s="48"/>
      <c r="W41" s="48"/>
      <c r="X41" s="48"/>
      <c r="Y41" s="48"/>
      <c r="Z41" s="48"/>
    </row>
    <row r="42" ht="15.75" customHeight="1">
      <c r="A42" s="48"/>
      <c r="B42" s="48"/>
      <c r="C42" s="48"/>
      <c r="D42" s="48"/>
      <c r="E42" s="48"/>
      <c r="F42" s="113"/>
      <c r="G42" s="113"/>
      <c r="I42" s="113"/>
      <c r="J42" s="113"/>
      <c r="K42" s="113"/>
      <c r="L42" s="113"/>
      <c r="R42" s="48"/>
      <c r="S42" s="48"/>
      <c r="T42" s="48"/>
      <c r="U42" s="48"/>
      <c r="V42" s="48"/>
      <c r="W42" s="48"/>
      <c r="X42" s="48"/>
      <c r="Y42" s="48"/>
      <c r="Z42" s="48"/>
    </row>
    <row r="43" ht="15.75" customHeight="1">
      <c r="A43" s="48"/>
      <c r="B43" s="48"/>
      <c r="C43" s="48"/>
      <c r="D43" s="48"/>
      <c r="E43" s="48"/>
      <c r="F43" s="113"/>
      <c r="G43" s="113"/>
      <c r="I43" s="113"/>
      <c r="J43" s="113"/>
      <c r="K43" s="113"/>
      <c r="L43" s="113"/>
      <c r="R43" s="48"/>
      <c r="S43" s="48"/>
      <c r="T43" s="48"/>
      <c r="U43" s="48"/>
      <c r="V43" s="48"/>
      <c r="W43" s="48"/>
      <c r="X43" s="48"/>
      <c r="Y43" s="48"/>
      <c r="Z43" s="48"/>
    </row>
    <row r="44" ht="15.75" customHeight="1">
      <c r="A44" s="48"/>
      <c r="B44" s="48"/>
      <c r="C44" s="48"/>
      <c r="D44" s="48"/>
      <c r="E44" s="48"/>
      <c r="F44" s="113"/>
      <c r="G44" s="113"/>
      <c r="I44" s="113"/>
      <c r="J44" s="113"/>
      <c r="K44" s="113"/>
      <c r="L44" s="113"/>
      <c r="R44" s="48"/>
      <c r="S44" s="48"/>
      <c r="T44" s="48"/>
      <c r="U44" s="48"/>
      <c r="V44" s="48"/>
      <c r="W44" s="48"/>
      <c r="X44" s="48"/>
      <c r="Y44" s="48"/>
      <c r="Z44" s="48"/>
    </row>
    <row r="45" ht="15.75" customHeight="1">
      <c r="A45" s="48"/>
      <c r="B45" s="48"/>
      <c r="C45" s="48"/>
      <c r="D45" s="48"/>
      <c r="E45" s="48"/>
      <c r="F45" s="113"/>
      <c r="G45" s="113"/>
      <c r="H45" s="113"/>
      <c r="I45" s="113"/>
      <c r="J45" s="113"/>
      <c r="K45" s="113"/>
      <c r="L45" s="113"/>
      <c r="R45" s="48"/>
      <c r="S45" s="48"/>
      <c r="T45" s="48"/>
      <c r="U45" s="48"/>
      <c r="V45" s="48"/>
      <c r="W45" s="48"/>
      <c r="X45" s="48"/>
      <c r="Y45" s="48"/>
      <c r="Z45" s="48"/>
    </row>
    <row r="46" ht="15.75" customHeight="1">
      <c r="A46" s="48"/>
      <c r="B46" s="48"/>
      <c r="C46" s="48"/>
      <c r="D46" s="48"/>
      <c r="E46" s="48"/>
      <c r="F46" s="113"/>
      <c r="G46" s="113"/>
      <c r="H46" s="113"/>
      <c r="I46" s="113"/>
      <c r="J46" s="113"/>
      <c r="K46" s="113"/>
      <c r="L46" s="113"/>
      <c r="R46" s="48"/>
      <c r="S46" s="48"/>
      <c r="T46" s="48"/>
      <c r="U46" s="48"/>
      <c r="V46" s="48"/>
      <c r="W46" s="48"/>
      <c r="X46" s="48"/>
      <c r="Y46" s="48"/>
      <c r="Z46" s="48"/>
    </row>
    <row r="47" ht="15.75" customHeight="1">
      <c r="A47" s="48"/>
      <c r="B47" s="48"/>
      <c r="C47" s="48"/>
      <c r="D47" s="48"/>
      <c r="E47" s="48"/>
      <c r="F47" s="113"/>
      <c r="G47" s="14"/>
      <c r="H47" s="113"/>
      <c r="I47" s="113"/>
      <c r="J47" s="113"/>
      <c r="K47" s="113"/>
      <c r="L47" s="113"/>
      <c r="R47" s="48"/>
      <c r="S47" s="48"/>
      <c r="T47" s="48"/>
      <c r="U47" s="48"/>
      <c r="V47" s="48"/>
      <c r="W47" s="48"/>
      <c r="X47" s="48"/>
      <c r="Y47" s="48"/>
      <c r="Z47" s="48"/>
    </row>
    <row r="48" ht="15.75" customHeight="1">
      <c r="A48" s="48"/>
      <c r="B48" s="48"/>
      <c r="C48" s="48"/>
      <c r="D48" s="48"/>
      <c r="E48" s="48"/>
      <c r="F48" s="113"/>
      <c r="G48" s="113"/>
      <c r="H48" s="113"/>
      <c r="I48" s="113"/>
      <c r="J48" s="113"/>
      <c r="K48" s="131"/>
      <c r="L48" s="113"/>
      <c r="R48" s="48"/>
      <c r="S48" s="48"/>
      <c r="T48" s="48"/>
      <c r="U48" s="48"/>
      <c r="V48" s="48"/>
      <c r="W48" s="48"/>
      <c r="X48" s="48"/>
      <c r="Y48" s="48"/>
      <c r="Z48" s="48"/>
    </row>
    <row r="49" ht="15.75" customHeight="1">
      <c r="A49" s="48"/>
      <c r="B49" s="48"/>
      <c r="C49" s="48"/>
      <c r="D49" s="48"/>
      <c r="E49" s="48"/>
      <c r="F49" s="113"/>
      <c r="G49" s="113"/>
      <c r="H49" s="113"/>
      <c r="I49" s="113"/>
      <c r="J49" s="113"/>
      <c r="K49" s="113"/>
      <c r="L49" s="113"/>
      <c r="R49" s="48"/>
      <c r="S49" s="48"/>
      <c r="T49" s="48"/>
      <c r="U49" s="48"/>
      <c r="V49" s="48"/>
      <c r="W49" s="48"/>
      <c r="X49" s="48"/>
      <c r="Y49" s="48"/>
      <c r="Z49" s="48"/>
    </row>
    <row r="50" ht="15.75" customHeight="1">
      <c r="A50" s="48"/>
      <c r="B50" s="48"/>
      <c r="C50" s="48"/>
      <c r="D50" s="48"/>
      <c r="E50" s="48"/>
      <c r="F50" s="113"/>
      <c r="G50" s="113"/>
      <c r="H50" s="113"/>
      <c r="I50" s="113"/>
      <c r="J50" s="113"/>
      <c r="K50" s="113"/>
      <c r="L50" s="113"/>
      <c r="M50" s="113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5.75" customHeight="1">
      <c r="A51" s="48"/>
      <c r="B51" s="48"/>
      <c r="C51" s="48"/>
      <c r="D51" s="48"/>
      <c r="E51" s="48"/>
      <c r="F51" s="113"/>
      <c r="G51" s="113"/>
      <c r="H51" s="113"/>
      <c r="I51" s="113"/>
      <c r="J51" s="113"/>
      <c r="K51" s="113"/>
      <c r="L51" s="113"/>
      <c r="M51" s="113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5.75" customHeight="1">
      <c r="A52" s="48"/>
      <c r="B52" s="48"/>
      <c r="C52" s="48"/>
      <c r="D52" s="48"/>
      <c r="E52" s="48"/>
      <c r="F52" s="113"/>
      <c r="G52" s="113"/>
      <c r="H52" s="113"/>
      <c r="I52" s="113"/>
      <c r="J52" s="113"/>
      <c r="K52" s="113"/>
      <c r="L52" s="113"/>
      <c r="M52" s="113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5.7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5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5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5.7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5.7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5.7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5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5.7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5.7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5.7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5.7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5.7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5.7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5.7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5.7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5.7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5.7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5.7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5.7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5.7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5.7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5.7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5.7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5.7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5.7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5.7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5.7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5.7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5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5.7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5.7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5.7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5.7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5.7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5.7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5.7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5.7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5.7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5.7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5.7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5.7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5.7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5.7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5.7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5.7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5.7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5.7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5.7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5.7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5.7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5.7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5.7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5.7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5.7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5.7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5.7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5.7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5.7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5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5.7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5.7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5.7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5.7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5.7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5.7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5.7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5.7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5.7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5.7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5.7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5.7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5.7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5.7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5.7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5.7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5.7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5.7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5.7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5.7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5.7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5.7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5.7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5.7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5.7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5.7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5.7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5.7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5.7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5.7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5.7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5.7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5.7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5.7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5.7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5.7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5.7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5.7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5.7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5.7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5.7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5.7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5.7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5.7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5.7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5.7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5.7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5.7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5.7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5.7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5.7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5.7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5.7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5.7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5.7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5.7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5.7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5.7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5.7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5.7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5.7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5.7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5.7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5.7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5.7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5.7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5.7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5.7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5.7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5.7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5.7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5.7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5.7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5.7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5.7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5.7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5.7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5.7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5.7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5.7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5.7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5.7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5.7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5.7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5.7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5.7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5.7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5.7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5.7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5.7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5.7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5.7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5.7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5.7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5.7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5.7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5.7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5.7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5.7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5.7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5.7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5.7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5.7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5.7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5.7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5.7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5.7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5.7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5.7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5.75" customHeight="1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5.75" customHeight="1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5.75" customHeight="1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5.75" customHeight="1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5.75" customHeight="1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5.75" customHeight="1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5.75" customHeight="1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5.75" customHeight="1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5.75" customHeight="1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5.75" customHeight="1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5.75" customHeight="1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5.75" customHeight="1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5.75" customHeight="1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5.75" customHeight="1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5.75" customHeight="1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5.75" customHeight="1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5.75" customHeight="1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5.75" customHeight="1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5.75" customHeight="1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5.75" customHeight="1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5.75" customHeight="1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5.75" customHeight="1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5.75" customHeight="1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5.75" customHeight="1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5.75" customHeight="1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5.75" customHeigh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5.75" customHeight="1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5.75" customHeight="1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5.75" customHeight="1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5.75" customHeight="1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5.75" customHeight="1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5.75" customHeight="1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5.75" customHeight="1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5.75" customHeight="1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5.75" customHeight="1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5.75" customHeight="1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5.75" customHeight="1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5.75" customHeight="1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5.75" customHeight="1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5.75" customHeight="1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5.75" customHeight="1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5.75" customHeight="1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5.75" customHeight="1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5.75" customHeight="1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5.75" customHeight="1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5.75" customHeight="1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5.75" customHeight="1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5.75" customHeight="1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5.75" customHeight="1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5.75" customHeight="1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5.75" customHeight="1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5.75" customHeight="1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5.75" customHeight="1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5.75" customHeight="1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5.75" customHeight="1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5.75" customHeight="1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5.75" customHeight="1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5.75" customHeight="1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5.75" customHeight="1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5.75" customHeight="1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5.75" customHeight="1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5.75" customHeight="1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5.75" customHeight="1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5.75" customHeigh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5.75" customHeight="1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5.75" customHeight="1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5.75" customHeight="1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5.75" customHeight="1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5.75" customHeight="1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5.75" customHeight="1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5.75" customHeight="1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5.75" customHeight="1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5.75" customHeight="1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5.75" customHeight="1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5.75" customHeight="1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5.75" customHeight="1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5.75" customHeight="1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5.75" customHeight="1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5.75" customHeight="1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5.75" customHeight="1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5.75" customHeight="1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5.75" customHeight="1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5.75" customHeight="1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5.75" customHeight="1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5.75" customHeight="1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5.75" customHeight="1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5.75" customHeight="1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5.75" customHeight="1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5.75" customHeight="1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5.75" customHeight="1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5.75" customHeight="1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5.75" customHeight="1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5.75" customHeight="1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5.75" customHeight="1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5.75" customHeight="1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5.75" customHeight="1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5.75" customHeight="1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5.75" customHeight="1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5.75" customHeight="1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5.75" customHeight="1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5.75" customHeight="1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5.75" customHeight="1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5.75" customHeight="1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5.75" customHeight="1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5.75" customHeight="1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5.75" customHeight="1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5.75" customHeight="1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5.75" customHeight="1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5.75" customHeight="1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5.75" customHeight="1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5.75" customHeight="1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5.75" customHeight="1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5.75" customHeight="1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5.75" customHeight="1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5.75" customHeight="1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5.75" customHeight="1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5.75" customHeight="1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5.75" customHeight="1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5.75" customHeight="1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5.75" customHeight="1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5.75" customHeight="1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5.75" customHeight="1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5.75" customHeight="1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5.75" customHeight="1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5.75" customHeight="1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5.75" customHeight="1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5.75" customHeight="1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5.75" customHeight="1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5.75" customHeight="1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5.75" customHeight="1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5.75" customHeight="1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5.75" customHeight="1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5.75" customHeight="1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5.75" customHeight="1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5.75" customHeight="1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5.75" customHeight="1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5.75" customHeight="1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5.75" customHeight="1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5.75" customHeight="1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5.75" customHeight="1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5.75" customHeight="1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5.75" customHeight="1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5.75" customHeight="1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5.75" customHeight="1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5.75" customHeight="1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5.75" customHeight="1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5.75" customHeight="1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5.75" customHeight="1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5.75" customHeight="1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5.75" customHeight="1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5.75" customHeight="1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5.75" customHeight="1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5.75" customHeight="1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5.75" customHeight="1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5.75" customHeight="1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5.75" customHeight="1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5.75" customHeight="1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5.75" customHeight="1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5.75" customHeight="1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5.75" customHeight="1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5.75" customHeight="1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5.75" customHeight="1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5.75" customHeight="1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5.75" customHeight="1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5.75" customHeight="1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5.75" customHeight="1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5.75" customHeight="1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5.75" customHeight="1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5.75" customHeight="1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5.75" customHeight="1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5.75" customHeight="1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5.75" customHeight="1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5.75" customHeight="1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5.75" customHeight="1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5.75" customHeight="1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5.75" customHeight="1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5.75" customHeight="1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5.75" customHeight="1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5.75" customHeight="1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5.75" customHeight="1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5.75" customHeight="1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5.75" customHeight="1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5.75" customHeight="1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5.75" customHeight="1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5.75" customHeight="1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5.75" customHeight="1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5.75" customHeight="1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5.75" customHeight="1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5.75" customHeight="1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5.75" customHeight="1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5.75" customHeight="1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5.75" customHeight="1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5.75" customHeight="1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5.75" customHeight="1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5.75" customHeight="1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5.75" customHeight="1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5.75" customHeight="1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5.75" customHeight="1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5.75" customHeight="1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5.75" customHeight="1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5.75" customHeight="1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5.75" customHeight="1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5.75" customHeight="1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5.75" customHeight="1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5.75" customHeight="1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5.75" customHeight="1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5.75" customHeight="1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5.75" customHeight="1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5.75" customHeight="1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5.75" customHeight="1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5.75" customHeight="1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5.75" customHeight="1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5.75" customHeight="1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5.75" customHeight="1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5.75" customHeight="1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5.75" customHeight="1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5.75" customHeight="1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5.75" customHeight="1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5.75" customHeight="1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5.75" customHeight="1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5.75" customHeight="1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5.75" customHeight="1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5.75" customHeight="1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5.75" customHeight="1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5.75" customHeight="1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5.75" customHeight="1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5.75" customHeight="1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5.75" customHeight="1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5.75" customHeight="1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5.75" customHeight="1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5.75" customHeight="1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5.75" customHeight="1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5.75" customHeight="1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5.75" customHeight="1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5.75" customHeight="1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5.75" customHeight="1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5.75" customHeight="1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5.75" customHeight="1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5.75" customHeight="1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5.75" customHeight="1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5.75" customHeight="1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5.75" customHeight="1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5.75" customHeight="1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5.75" customHeight="1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5.75" customHeight="1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5.75" customHeight="1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5.75" customHeight="1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5.75" customHeight="1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5.75" customHeight="1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5.75" customHeight="1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5.75" customHeight="1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5.75" customHeight="1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5.75" customHeight="1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5.75" customHeight="1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5.75" customHeight="1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5.75" customHeight="1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5.75" customHeight="1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5.75" customHeight="1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5.75" customHeight="1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5.75" customHeight="1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5.75" customHeight="1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5.75" customHeight="1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5.75" customHeight="1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5.75" customHeight="1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5.75" customHeight="1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5.75" customHeight="1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5.75" customHeight="1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5.75" customHeight="1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5.75" customHeight="1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5.75" customHeight="1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5.75" customHeight="1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5.75" customHeight="1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5.75" customHeight="1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5.75" customHeight="1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5.75" customHeight="1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5.75" customHeight="1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5.75" customHeight="1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5.75" customHeight="1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5.75" customHeight="1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5.75" customHeight="1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5.75" customHeight="1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5.75" customHeight="1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5.75" customHeight="1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5.75" customHeight="1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5.75" customHeight="1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5.75" customHeight="1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5.75" customHeight="1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5.75" customHeight="1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5.75" customHeight="1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5.75" customHeight="1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5.75" customHeight="1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5.75" customHeight="1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5.75" customHeight="1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5.75" customHeight="1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5.75" customHeight="1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5.75" customHeight="1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5.75" customHeight="1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5.75" customHeight="1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5.75" customHeight="1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5.75" customHeight="1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5.75" customHeight="1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5.75" customHeight="1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5.75" customHeight="1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5.75" customHeight="1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5.75" customHeight="1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5.75" customHeight="1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5.75" customHeight="1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5.75" customHeight="1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5.75" customHeight="1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5.75" customHeight="1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5.75" customHeight="1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5.75" customHeight="1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5.75" customHeight="1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5.75" customHeight="1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5.75" customHeight="1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5.75" customHeight="1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5.75" customHeight="1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5.75" customHeight="1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5.75" customHeight="1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5.75" customHeight="1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5.75" customHeight="1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5.75" customHeight="1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5.75" customHeight="1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5.75" customHeight="1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5.75" customHeight="1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5.75" customHeight="1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5.75" customHeight="1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5.75" customHeight="1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5.75" customHeight="1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5.75" customHeight="1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5.75" customHeight="1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5.75" customHeight="1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5.75" customHeight="1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5.75" customHeight="1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5.75" customHeight="1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5.75" customHeight="1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5.75" customHeight="1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5.75" customHeight="1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5.75" customHeight="1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5.75" customHeight="1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5.75" customHeight="1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5.75" customHeight="1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5.75" customHeight="1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5.75" customHeight="1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5.75" customHeight="1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5.75" customHeight="1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5.75" customHeight="1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5.75" customHeight="1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5.75" customHeight="1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5.75" customHeight="1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5.75" customHeight="1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5.75" customHeight="1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5.75" customHeight="1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5.75" customHeight="1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5.75" customHeight="1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5.75" customHeight="1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5.75" customHeight="1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5.75" customHeight="1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5.75" customHeight="1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5.75" customHeight="1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5.75" customHeight="1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5.75" customHeight="1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5.75" customHeight="1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5.75" customHeight="1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5.75" customHeight="1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5.75" customHeight="1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5.75" customHeight="1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5.75" customHeight="1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5.75" customHeight="1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5.75" customHeight="1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5.75" customHeight="1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5.75" customHeight="1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5.75" customHeight="1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5.75" customHeight="1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5.75" customHeight="1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5.75" customHeight="1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5.75" customHeight="1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5.75" customHeight="1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5.75" customHeight="1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5.75" customHeight="1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5.75" customHeight="1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5.75" customHeight="1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5.75" customHeight="1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5.75" customHeight="1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5.75" customHeight="1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5.75" customHeight="1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5.75" customHeight="1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5.75" customHeight="1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5.75" customHeight="1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5.75" customHeight="1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5.75" customHeight="1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5.75" customHeight="1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5.75" customHeight="1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5.75" customHeight="1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5.75" customHeight="1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5.75" customHeight="1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5.75" customHeight="1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5.75" customHeight="1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5.75" customHeight="1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5.75" customHeight="1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5.75" customHeight="1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5.75" customHeight="1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5.75" customHeight="1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5.75" customHeight="1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5.75" customHeight="1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5.75" customHeight="1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5.75" customHeight="1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5.75" customHeight="1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5.75" customHeight="1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5.75" customHeight="1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5.75" customHeight="1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5.75" customHeight="1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5.75" customHeight="1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5.75" customHeight="1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5.75" customHeight="1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5.75" customHeight="1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5.75" customHeight="1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5.75" customHeight="1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5.75" customHeight="1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5.75" customHeight="1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5.75" customHeight="1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5.75" customHeight="1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5.75" customHeight="1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5.75" customHeight="1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5.75" customHeight="1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5.75" customHeight="1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5.75" customHeight="1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5.75" customHeight="1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5.75" customHeight="1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5.75" customHeight="1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5.75" customHeight="1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5.75" customHeight="1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5.75" customHeight="1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5.75" customHeight="1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5.75" customHeight="1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5.75" customHeight="1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5.75" customHeight="1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5.75" customHeight="1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5.75" customHeight="1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5.75" customHeight="1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5.75" customHeight="1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5.75" customHeight="1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5.75" customHeight="1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5.75" customHeight="1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5.75" customHeight="1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5.75" customHeight="1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5.75" customHeight="1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5.75" customHeight="1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5.75" customHeight="1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5.75" customHeight="1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5.75" customHeight="1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5.75" customHeight="1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5.75" customHeight="1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5.75" customHeight="1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5.75" customHeight="1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5.75" customHeight="1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5.75" customHeight="1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5.75" customHeight="1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5.75" customHeight="1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5.75" customHeight="1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5.75" customHeight="1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5.75" customHeight="1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5.75" customHeight="1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5.75" customHeight="1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5.75" customHeight="1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5.75" customHeight="1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5.75" customHeight="1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5.75" customHeight="1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5.75" customHeight="1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5.75" customHeight="1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5.75" customHeight="1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5.75" customHeight="1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5.75" customHeight="1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5.75" customHeight="1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5.75" customHeight="1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5.75" customHeight="1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5.75" customHeight="1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5.75" customHeight="1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5.75" customHeight="1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5.75" customHeight="1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5.75" customHeight="1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5.75" customHeight="1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5.75" customHeight="1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5.75" customHeight="1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5.75" customHeight="1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5.75" customHeight="1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5.75" customHeight="1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5.75" customHeight="1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5.75" customHeight="1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5.75" customHeight="1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5.75" customHeight="1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5.75" customHeight="1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5.75" customHeight="1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5.75" customHeight="1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5.75" customHeight="1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5.75" customHeight="1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5.75" customHeight="1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5.75" customHeight="1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5.75" customHeight="1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5.75" customHeight="1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5.75" customHeight="1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5.75" customHeight="1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5.75" customHeight="1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5.75" customHeight="1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5.75" customHeight="1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5.75" customHeight="1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5.75" customHeight="1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5.75" customHeight="1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5.75" customHeight="1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5.75" customHeight="1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5.75" customHeight="1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5.75" customHeight="1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5.75" customHeight="1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5.75" customHeight="1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5.75" customHeight="1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5.75" customHeight="1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5.75" customHeight="1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5.75" customHeight="1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5.75" customHeight="1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5.75" customHeight="1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5.75" customHeight="1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5.75" customHeight="1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5.75" customHeight="1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5.75" customHeight="1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5.75" customHeight="1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5.75" customHeight="1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5.75" customHeight="1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5.75" customHeight="1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5.75" customHeight="1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5.75" customHeight="1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5.75" customHeight="1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5.75" customHeight="1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5.75" customHeight="1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5.75" customHeight="1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5.75" customHeight="1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5.75" customHeight="1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5.75" customHeight="1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5.75" customHeight="1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5.75" customHeight="1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5.75" customHeight="1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5.75" customHeight="1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5.75" customHeight="1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5.75" customHeight="1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5.75" customHeight="1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5.75" customHeight="1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5.75" customHeight="1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5.75" customHeight="1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5.75" customHeight="1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5.75" customHeight="1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5.75" customHeight="1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5.75" customHeight="1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5.75" customHeight="1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5.75" customHeight="1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5.75" customHeight="1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5.75" customHeight="1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5.75" customHeight="1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5.75" customHeight="1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5.75" customHeight="1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5.75" customHeight="1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5.75" customHeight="1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5.75" customHeight="1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5.75" customHeight="1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5.75" customHeight="1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5.75" customHeight="1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5.75" customHeight="1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5.75" customHeight="1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5.75" customHeight="1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5.75" customHeight="1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5.75" customHeight="1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5.75" customHeight="1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5.75" customHeight="1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5.75" customHeight="1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5.75" customHeight="1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5.75" customHeight="1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5.75" customHeight="1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5.75" customHeight="1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5.75" customHeight="1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5.75" customHeight="1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5.75" customHeight="1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5.75" customHeight="1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5.75" customHeight="1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5.75" customHeight="1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5.75" customHeight="1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5.75" customHeight="1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5.75" customHeight="1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5.75" customHeight="1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5.75" customHeight="1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5.75" customHeight="1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5.75" customHeight="1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5.75" customHeight="1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5.75" customHeight="1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5.75" customHeight="1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5.75" customHeight="1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5.75" customHeight="1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5.75" customHeight="1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5.75" customHeight="1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5.75" customHeight="1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5.75" customHeight="1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5.75" customHeight="1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5.75" customHeight="1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5.75" customHeight="1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5.75" customHeight="1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5.75" customHeight="1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5.75" customHeight="1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5.75" customHeight="1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5.75" customHeight="1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5.75" customHeight="1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5.75" customHeight="1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5.75" customHeight="1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5.75" customHeight="1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5.75" customHeight="1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5.75" customHeight="1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5.75" customHeight="1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5.75" customHeight="1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5.75" customHeight="1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5.75" customHeight="1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5.75" customHeight="1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5.75" customHeight="1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5.75" customHeight="1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5.75" customHeight="1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5.75" customHeight="1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5.75" customHeight="1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5.75" customHeight="1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5.75" customHeight="1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5.75" customHeight="1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5.75" customHeight="1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5.75" customHeight="1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5.75" customHeight="1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5.75" customHeight="1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5.75" customHeight="1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5.75" customHeight="1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5.75" customHeight="1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5.75" customHeight="1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5.75" customHeight="1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5.75" customHeight="1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5.75" customHeight="1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5.75" customHeight="1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5.75" customHeight="1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5.75" customHeight="1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5.75" customHeight="1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5.75" customHeight="1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5.75" customHeight="1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5.75" customHeight="1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5.75" customHeight="1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5.75" customHeight="1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5.75" customHeight="1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5.75" customHeight="1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5.75" customHeight="1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5.75" customHeight="1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5.75" customHeight="1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5.75" customHeight="1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5.75" customHeight="1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5.75" customHeight="1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5.75" customHeight="1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5.75" customHeight="1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5.75" customHeight="1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5.75" customHeight="1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5.75" customHeight="1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5.75" customHeight="1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5.75" customHeight="1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5.75" customHeight="1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5.75" customHeight="1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5.75" customHeight="1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5.75" customHeight="1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5.75" customHeight="1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5.75" customHeight="1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5.75" customHeight="1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5.75" customHeight="1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5.75" customHeight="1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5.75" customHeight="1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5.75" customHeight="1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5.75" customHeight="1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5.75" customHeight="1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5.75" customHeight="1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5.75" customHeight="1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5.75" customHeight="1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5.75" customHeight="1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5.75" customHeight="1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5.75" customHeight="1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5.75" customHeight="1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5.75" customHeight="1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5.75" customHeight="1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5.75" customHeight="1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5.75" customHeight="1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5.75" customHeight="1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5.75" customHeight="1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5.75" customHeight="1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5.75" customHeight="1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5.75" customHeight="1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5.75" customHeight="1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5.75" customHeight="1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5.75" customHeight="1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5.75" customHeight="1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5.75" customHeight="1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5.75" customHeight="1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5.75" customHeight="1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5.75" customHeight="1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5.75" customHeight="1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5.75" customHeight="1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5.75" customHeight="1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5.75" customHeight="1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5.75" customHeight="1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5.75" customHeight="1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5.75" customHeight="1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5.75" customHeight="1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5.75" customHeight="1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5.75" customHeight="1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5.75" customHeight="1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5.75" customHeight="1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5.75" customHeight="1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5.75" customHeight="1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5.75" customHeight="1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5.75" customHeight="1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5.75" customHeight="1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5.75" customHeight="1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5.75" customHeight="1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5.75" customHeight="1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5.75" customHeight="1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5.75" customHeight="1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5.75" customHeight="1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5.75" customHeight="1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5.75" customHeight="1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5.75" customHeight="1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5.75" customHeight="1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5.75" customHeight="1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5.75" customHeight="1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5.75" customHeight="1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5.75" customHeight="1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5.75" customHeight="1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5.75" customHeight="1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5.75" customHeight="1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5.75" customHeight="1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5.75" customHeight="1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5.75" customHeight="1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5.75" customHeight="1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5.75" customHeight="1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5.75" customHeight="1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5.75" customHeight="1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5.75" customHeight="1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5.75" customHeight="1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5.75" customHeight="1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5.75" customHeight="1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5.75" customHeight="1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5.75" customHeight="1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5.75" customHeight="1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5.75" customHeight="1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5.75" customHeight="1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5.75" customHeight="1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5.75" customHeight="1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5.75" customHeight="1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5.75" customHeight="1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5.75" customHeight="1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5.75" customHeight="1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5.75" customHeight="1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5.75" customHeight="1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5.75" customHeight="1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5.75" customHeight="1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5.75" customHeight="1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5.75" customHeight="1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5.75" customHeight="1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5.75" customHeight="1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5.75" customHeight="1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5.75" customHeight="1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5.75" customHeight="1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5.75" customHeight="1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5.75" customHeight="1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5.75" customHeight="1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5.75" customHeight="1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5.75" customHeight="1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5.75" customHeight="1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5.75" customHeight="1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5.75" customHeight="1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5.75" customHeight="1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5.75" customHeight="1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5.75" customHeight="1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9.0"/>
    <col customWidth="1" min="4" max="4" width="28.14"/>
    <col customWidth="1" min="5" max="5" width="12.86"/>
    <col customWidth="1" min="6" max="7" width="9.0"/>
    <col customWidth="1" min="8" max="8" width="14.29"/>
    <col customWidth="1" min="9" max="9" width="10.0"/>
  </cols>
  <sheetData>
    <row r="1" ht="15.75" customHeight="1">
      <c r="I1" s="39" t="s">
        <v>169</v>
      </c>
      <c r="J1" s="39"/>
      <c r="K1" s="39"/>
      <c r="L1" s="39"/>
    </row>
    <row r="2" ht="15.75" customHeight="1">
      <c r="B2" s="43" t="s">
        <v>170</v>
      </c>
      <c r="G2" s="43">
        <f>G17</f>
        <v>76998</v>
      </c>
      <c r="H2" s="14"/>
      <c r="I2" s="14" t="s">
        <v>171</v>
      </c>
    </row>
    <row r="3" ht="15.75" customHeight="1">
      <c r="B3" s="14" t="s">
        <v>172</v>
      </c>
      <c r="G3" s="14">
        <f>G22</f>
        <v>35520</v>
      </c>
      <c r="H3" s="14"/>
      <c r="I3" s="14" t="s">
        <v>173</v>
      </c>
    </row>
    <row r="4" ht="15.75" customHeight="1">
      <c r="B4" s="43" t="s">
        <v>174</v>
      </c>
      <c r="C4" s="134"/>
      <c r="E4" s="43"/>
      <c r="F4" s="43"/>
      <c r="G4" s="44">
        <v>50000.0</v>
      </c>
      <c r="H4" s="14"/>
      <c r="I4" s="14" t="s">
        <v>175</v>
      </c>
    </row>
    <row r="5" ht="15.75" customHeight="1">
      <c r="B5" s="43" t="s">
        <v>176</v>
      </c>
      <c r="G5" s="44">
        <v>71000.0</v>
      </c>
      <c r="H5" s="135"/>
      <c r="I5" s="14" t="s">
        <v>177</v>
      </c>
    </row>
    <row r="6" ht="15.75" customHeight="1">
      <c r="B6" s="14" t="s">
        <v>178</v>
      </c>
      <c r="F6" s="14"/>
      <c r="G6" s="14">
        <v>13000.0</v>
      </c>
      <c r="I6" s="14" t="s">
        <v>179</v>
      </c>
    </row>
    <row r="7" ht="15.75" customHeight="1">
      <c r="B7" s="136" t="s">
        <v>180</v>
      </c>
      <c r="C7" s="136"/>
      <c r="D7" s="136"/>
      <c r="E7" s="136"/>
      <c r="F7" s="136"/>
      <c r="G7" s="136">
        <f>SUM(G2:G6)</f>
        <v>246518</v>
      </c>
    </row>
    <row r="8" ht="15.75" customHeight="1">
      <c r="B8" s="98"/>
      <c r="G8" s="14"/>
    </row>
    <row r="9" ht="15.75" customHeight="1">
      <c r="B9" s="137" t="s">
        <v>181</v>
      </c>
      <c r="C9" s="39"/>
      <c r="D9" s="39"/>
      <c r="E9" s="39"/>
      <c r="F9" s="39"/>
      <c r="G9" s="39"/>
      <c r="I9" s="138" t="s">
        <v>182</v>
      </c>
    </row>
    <row r="10" ht="15.75" customHeight="1">
      <c r="I10" s="43" t="s">
        <v>183</v>
      </c>
    </row>
    <row r="11" ht="15.75" customHeight="1">
      <c r="C11" s="14" t="s">
        <v>184</v>
      </c>
    </row>
    <row r="12" ht="15.75" customHeight="1">
      <c r="B12" s="139" t="s">
        <v>180</v>
      </c>
      <c r="C12" s="139"/>
      <c r="D12" s="139"/>
      <c r="E12" s="139"/>
      <c r="F12" s="139"/>
      <c r="G12" s="139">
        <v>11000.0</v>
      </c>
    </row>
    <row r="13" ht="15.75" customHeight="1">
      <c r="J13" s="140"/>
      <c r="K13" s="141"/>
      <c r="L13" s="14"/>
      <c r="M13" s="14"/>
      <c r="N13" s="14"/>
      <c r="O13" s="14"/>
    </row>
    <row r="14" ht="15.75" customHeight="1">
      <c r="B14" s="142" t="s">
        <v>185</v>
      </c>
      <c r="C14" s="143"/>
      <c r="D14" s="143"/>
      <c r="E14" s="143" t="s">
        <v>186</v>
      </c>
      <c r="F14" s="143" t="s">
        <v>187</v>
      </c>
      <c r="G14" s="143"/>
      <c r="I14" s="14"/>
      <c r="L14" s="134"/>
      <c r="N14" s="44"/>
      <c r="O14" s="43"/>
    </row>
    <row r="15" ht="15.75" customHeight="1">
      <c r="C15" s="134" t="s">
        <v>188</v>
      </c>
      <c r="E15" s="44">
        <v>69.0</v>
      </c>
      <c r="F15" s="43">
        <v>950.0</v>
      </c>
      <c r="G15" s="43">
        <f t="shared" ref="G15:G16" si="1">F15*E15</f>
        <v>65550</v>
      </c>
      <c r="L15" s="134"/>
      <c r="M15" s="14"/>
      <c r="N15" s="44"/>
      <c r="O15" s="43"/>
    </row>
    <row r="16" ht="15.75" customHeight="1">
      <c r="C16" s="144" t="s">
        <v>189</v>
      </c>
      <c r="D16" s="39"/>
      <c r="E16" s="145">
        <v>53.0</v>
      </c>
      <c r="F16" s="146">
        <v>216.0</v>
      </c>
      <c r="G16" s="146">
        <f t="shared" si="1"/>
        <v>11448</v>
      </c>
    </row>
    <row r="17" ht="15.75" customHeight="1">
      <c r="C17" s="136"/>
      <c r="D17" s="136"/>
      <c r="E17" s="136"/>
      <c r="F17" s="136" t="s">
        <v>190</v>
      </c>
      <c r="G17" s="136">
        <f>SUM(G15:G16)</f>
        <v>76998</v>
      </c>
    </row>
    <row r="18" ht="15.75" customHeight="1">
      <c r="J18" s="14"/>
    </row>
    <row r="19" ht="15.75" customHeight="1"/>
    <row r="20" ht="15.75" customHeight="1"/>
    <row r="21" ht="15.75" customHeight="1">
      <c r="B21" s="142" t="s">
        <v>191</v>
      </c>
      <c r="C21" s="147"/>
      <c r="D21" s="143"/>
      <c r="E21" s="143"/>
      <c r="F21" s="143"/>
      <c r="G21" s="143"/>
    </row>
    <row r="22" ht="15.75" customHeight="1">
      <c r="C22" s="134" t="s">
        <v>192</v>
      </c>
      <c r="E22" s="44">
        <v>192.0</v>
      </c>
      <c r="F22" s="43">
        <v>185.0</v>
      </c>
      <c r="G22" s="146">
        <f>F22*E22</f>
        <v>35520</v>
      </c>
      <c r="I22" s="14"/>
    </row>
    <row r="23" ht="15.75" customHeight="1"/>
    <row r="24" ht="15.75" customHeight="1"/>
    <row r="25" ht="15.75" customHeight="1">
      <c r="B25" s="14"/>
      <c r="E25" s="14"/>
    </row>
    <row r="26" ht="15.75" customHeight="1">
      <c r="C26" s="134"/>
      <c r="E26" s="14"/>
    </row>
    <row r="27" ht="15.75" customHeight="1">
      <c r="C27" s="134"/>
      <c r="E27" s="14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35.14"/>
  </cols>
  <sheetData>
    <row r="2">
      <c r="A2" s="141" t="s">
        <v>193</v>
      </c>
    </row>
    <row r="3">
      <c r="A3" s="14" t="s">
        <v>194</v>
      </c>
      <c r="C3" s="14">
        <v>525.0</v>
      </c>
      <c r="F3" s="98" t="s">
        <v>195</v>
      </c>
    </row>
    <row r="4">
      <c r="A4" s="43" t="s">
        <v>196</v>
      </c>
      <c r="C4" s="43">
        <v>652.0</v>
      </c>
      <c r="F4" s="43" t="s">
        <v>197</v>
      </c>
      <c r="H4" s="43">
        <v>2648.0</v>
      </c>
    </row>
    <row r="5">
      <c r="A5" s="43" t="s">
        <v>198</v>
      </c>
      <c r="C5" s="43">
        <v>800.0</v>
      </c>
      <c r="G5" s="98"/>
    </row>
    <row r="6">
      <c r="A6" s="43" t="s">
        <v>199</v>
      </c>
      <c r="C6" s="43">
        <v>2553.0</v>
      </c>
    </row>
    <row r="7">
      <c r="A7" s="43" t="s">
        <v>200</v>
      </c>
      <c r="C7" s="43">
        <v>748.0</v>
      </c>
    </row>
    <row r="8">
      <c r="A8" s="43" t="s">
        <v>201</v>
      </c>
      <c r="C8" s="43">
        <v>334.0</v>
      </c>
    </row>
    <row r="9">
      <c r="A9" s="43" t="s">
        <v>202</v>
      </c>
      <c r="C9" s="43">
        <v>765.0</v>
      </c>
    </row>
    <row r="10">
      <c r="A10" s="148" t="s">
        <v>197</v>
      </c>
      <c r="B10" s="149"/>
      <c r="C10" s="43"/>
    </row>
    <row r="11">
      <c r="A11" s="150" t="s">
        <v>180</v>
      </c>
      <c r="B11" s="151"/>
      <c r="C11" s="150">
        <f>SUM(C3:C10)</f>
        <v>6377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24.86"/>
    <col customWidth="1" min="3" max="3" width="12.57"/>
    <col customWidth="1" min="4" max="4" width="21.0"/>
    <col customWidth="1" min="5" max="5" width="18.0"/>
    <col customWidth="1" min="6" max="6" width="17.0"/>
    <col customWidth="1" min="7" max="7" width="15.29"/>
    <col customWidth="1" min="8" max="8" width="19.86"/>
    <col customWidth="1" min="9" max="9" width="10.71"/>
    <col customWidth="1" min="10" max="10" width="12.86"/>
    <col customWidth="1" min="12" max="12" width="22.57"/>
    <col customWidth="1" min="13" max="13" width="18.14"/>
    <col customWidth="1" min="14" max="14" width="17.57"/>
  </cols>
  <sheetData>
    <row r="1" ht="15.75" customHeight="1">
      <c r="A1" s="14">
        <v>2.0</v>
      </c>
    </row>
    <row r="2" ht="15.75" customHeight="1">
      <c r="B2" s="152" t="s">
        <v>203</v>
      </c>
      <c r="C2" s="146"/>
      <c r="D2" s="146"/>
      <c r="E2" s="146"/>
      <c r="F2" s="146"/>
      <c r="G2" s="146"/>
      <c r="H2" s="146"/>
      <c r="I2" s="146" t="s">
        <v>204</v>
      </c>
    </row>
    <row r="3" ht="27.75" customHeight="1">
      <c r="B3" s="153" t="s">
        <v>205</v>
      </c>
      <c r="C3" s="153" t="s">
        <v>206</v>
      </c>
      <c r="D3" s="153" t="s">
        <v>207</v>
      </c>
      <c r="E3" s="153" t="s">
        <v>208</v>
      </c>
      <c r="F3" s="153" t="s">
        <v>209</v>
      </c>
      <c r="G3" s="153" t="s">
        <v>210</v>
      </c>
      <c r="H3" s="153" t="s">
        <v>211</v>
      </c>
      <c r="I3" s="14" t="s">
        <v>212</v>
      </c>
      <c r="J3" s="154" t="s">
        <v>116</v>
      </c>
    </row>
    <row r="4" ht="15.75" customHeight="1">
      <c r="B4" s="43" t="s">
        <v>213</v>
      </c>
      <c r="C4" s="43">
        <v>3.0</v>
      </c>
      <c r="D4" s="43">
        <f>M6*(1+feriepengesats)*M12</f>
        <v>2464</v>
      </c>
      <c r="E4" s="43">
        <f t="shared" ref="E4:E8" si="1">D4*2*C4</f>
        <v>14784</v>
      </c>
      <c r="F4" s="43">
        <v>5.0</v>
      </c>
      <c r="G4" s="43">
        <v>4.0</v>
      </c>
      <c r="H4" s="43">
        <f>(E15*F4+G4*F15)*C4</f>
        <v>37200</v>
      </c>
      <c r="I4" s="14">
        <f t="shared" ref="I4:I10" si="2">H4*0.9825</f>
        <v>36549</v>
      </c>
      <c r="J4" s="155">
        <f t="shared" ref="J4:J10" si="3">I4-E4</f>
        <v>21765</v>
      </c>
      <c r="L4" s="156" t="s">
        <v>214</v>
      </c>
      <c r="M4" s="156"/>
      <c r="N4" s="156"/>
    </row>
    <row r="5" ht="15.75" customHeight="1">
      <c r="B5" s="43" t="s">
        <v>215</v>
      </c>
      <c r="C5" s="43">
        <v>2.0</v>
      </c>
      <c r="D5" s="43">
        <f>210*(1+feriepengesats)*M13</f>
        <v>3057.6</v>
      </c>
      <c r="E5" s="43">
        <f t="shared" si="1"/>
        <v>12230.4</v>
      </c>
      <c r="F5" s="43">
        <v>7.0</v>
      </c>
      <c r="G5" s="43">
        <v>3.0</v>
      </c>
      <c r="H5" s="43">
        <f>(G16*F5+H16*G5)*C5</f>
        <v>37000</v>
      </c>
      <c r="I5" s="14">
        <f t="shared" si="2"/>
        <v>36352.5</v>
      </c>
      <c r="J5" s="155">
        <f t="shared" si="3"/>
        <v>24122.1</v>
      </c>
      <c r="L5" s="157" t="s">
        <v>205</v>
      </c>
      <c r="M5" s="158" t="s">
        <v>216</v>
      </c>
      <c r="N5" s="159" t="s">
        <v>217</v>
      </c>
    </row>
    <row r="6" ht="15.75" customHeight="1">
      <c r="B6" s="160" t="s">
        <v>218</v>
      </c>
      <c r="C6" s="43">
        <v>0.5</v>
      </c>
      <c r="D6" s="160">
        <f>M8*(1+feriepengesats)*M14</f>
        <v>3449.6</v>
      </c>
      <c r="E6" s="43">
        <f t="shared" si="1"/>
        <v>3449.6</v>
      </c>
      <c r="F6" s="160">
        <v>7.0</v>
      </c>
      <c r="G6" s="160">
        <v>1.0</v>
      </c>
      <c r="H6" s="160">
        <f t="shared" ref="H6:H7" si="4">(F6*G17*C6)+(C6*G6*H17)</f>
        <v>11900</v>
      </c>
      <c r="I6" s="14">
        <f t="shared" si="2"/>
        <v>11691.75</v>
      </c>
      <c r="J6" s="155">
        <f t="shared" si="3"/>
        <v>8242.15</v>
      </c>
      <c r="L6" s="161" t="s">
        <v>219</v>
      </c>
      <c r="M6" s="162">
        <v>200.0</v>
      </c>
      <c r="N6" s="163"/>
    </row>
    <row r="7" ht="15.75" customHeight="1">
      <c r="B7" s="14" t="s">
        <v>220</v>
      </c>
      <c r="C7" s="43">
        <v>0.5</v>
      </c>
      <c r="D7" s="43">
        <f>M8*(1+feriepengesats)*M15</f>
        <v>4188.8</v>
      </c>
      <c r="E7" s="43">
        <f t="shared" si="1"/>
        <v>4188.8</v>
      </c>
      <c r="F7" s="14">
        <v>7.0</v>
      </c>
      <c r="G7" s="14">
        <v>1.0</v>
      </c>
      <c r="H7" s="160">
        <f t="shared" si="4"/>
        <v>12850</v>
      </c>
      <c r="I7" s="14">
        <f t="shared" si="2"/>
        <v>12625.125</v>
      </c>
      <c r="J7" s="155">
        <f t="shared" si="3"/>
        <v>8436.325</v>
      </c>
      <c r="L7" s="161" t="s">
        <v>215</v>
      </c>
      <c r="M7" s="164">
        <v>220.0</v>
      </c>
      <c r="N7" s="165">
        <v>200.0</v>
      </c>
      <c r="O7" s="166" t="s">
        <v>221</v>
      </c>
      <c r="P7" s="166"/>
      <c r="Q7" s="166"/>
    </row>
    <row r="8" ht="15.75" customHeight="1">
      <c r="B8" s="160" t="s">
        <v>222</v>
      </c>
      <c r="C8" s="43">
        <v>1.0</v>
      </c>
      <c r="D8" s="160">
        <f>210*(1+feriepengesats)*M16</f>
        <v>3763.2</v>
      </c>
      <c r="E8" s="43">
        <f t="shared" si="1"/>
        <v>7526.4</v>
      </c>
      <c r="F8" s="160">
        <v>4.0</v>
      </c>
      <c r="G8" s="160">
        <v>5.0</v>
      </c>
      <c r="H8" s="160">
        <f>(G19*F8+G8*H19)*C8</f>
        <v>21600</v>
      </c>
      <c r="I8" s="14">
        <f t="shared" si="2"/>
        <v>21222</v>
      </c>
      <c r="J8" s="155">
        <f t="shared" si="3"/>
        <v>13695.6</v>
      </c>
      <c r="L8" s="161" t="s">
        <v>223</v>
      </c>
      <c r="M8" s="164">
        <v>220.0</v>
      </c>
      <c r="N8" s="159">
        <v>220.0</v>
      </c>
    </row>
    <row r="9" ht="15.75" customHeight="1">
      <c r="B9" s="43" t="s">
        <v>224</v>
      </c>
      <c r="C9" s="43">
        <v>2.0</v>
      </c>
      <c r="D9" s="43">
        <f>M6*(1+feriepengesats)*N12</f>
        <v>560</v>
      </c>
      <c r="E9" s="43">
        <f>D9*C9</f>
        <v>1120</v>
      </c>
      <c r="F9" s="43">
        <v>5.0</v>
      </c>
      <c r="G9" s="43"/>
      <c r="H9" s="43">
        <f>(F9*G20)*C9</f>
        <v>4000</v>
      </c>
      <c r="I9" s="14">
        <f t="shared" si="2"/>
        <v>3930</v>
      </c>
      <c r="J9" s="155">
        <f t="shared" si="3"/>
        <v>2810</v>
      </c>
      <c r="L9" s="167" t="s">
        <v>225</v>
      </c>
      <c r="M9" s="168">
        <v>220.0</v>
      </c>
      <c r="N9" s="169">
        <v>200.0</v>
      </c>
    </row>
    <row r="10" ht="15.75" customHeight="1">
      <c r="B10" s="170" t="s">
        <v>226</v>
      </c>
      <c r="C10" s="43">
        <v>1.0</v>
      </c>
      <c r="D10" s="160">
        <f>M9*(1+feriepengesats)*M17</f>
        <v>2956.8</v>
      </c>
      <c r="E10" s="43">
        <f>D10*2*C10</f>
        <v>5913.6</v>
      </c>
      <c r="F10" s="14">
        <v>7.0</v>
      </c>
      <c r="H10" s="14">
        <f>F10*G21</f>
        <v>14000</v>
      </c>
      <c r="I10" s="39">
        <f t="shared" si="2"/>
        <v>13755</v>
      </c>
      <c r="J10" s="155">
        <f t="shared" si="3"/>
        <v>7841.4</v>
      </c>
      <c r="L10" s="171"/>
      <c r="M10" s="162"/>
      <c r="N10" s="171"/>
    </row>
    <row r="11" ht="15.75" customHeight="1">
      <c r="B11" s="172" t="s">
        <v>180</v>
      </c>
      <c r="C11" s="172"/>
      <c r="D11" s="172"/>
      <c r="E11" s="172">
        <f>SUM(E4:E10)</f>
        <v>49212.8</v>
      </c>
      <c r="F11" s="172"/>
      <c r="G11" s="172"/>
      <c r="H11" s="172">
        <f t="shared" ref="H11:I11" si="5">SUM(H4:H10)</f>
        <v>138550</v>
      </c>
      <c r="I11" s="173">
        <f t="shared" si="5"/>
        <v>136125.375</v>
      </c>
      <c r="J11" s="174">
        <f>SUM(J4:J8)</f>
        <v>76261.175</v>
      </c>
      <c r="L11" s="175" t="s">
        <v>205</v>
      </c>
      <c r="M11" s="151" t="s">
        <v>227</v>
      </c>
      <c r="N11" s="176"/>
    </row>
    <row r="12" ht="15.75" customHeight="1">
      <c r="L12" s="161" t="s">
        <v>219</v>
      </c>
      <c r="M12" s="151">
        <v>11.0</v>
      </c>
      <c r="N12" s="176">
        <v>2.5</v>
      </c>
    </row>
    <row r="13" ht="15.75" customHeight="1">
      <c r="B13" s="177" t="s">
        <v>228</v>
      </c>
      <c r="L13" s="161" t="s">
        <v>215</v>
      </c>
      <c r="M13" s="14">
        <v>13.0</v>
      </c>
      <c r="N13" s="178"/>
    </row>
    <row r="14" ht="33.75" customHeight="1">
      <c r="B14" s="179" t="s">
        <v>205</v>
      </c>
      <c r="C14" s="180" t="s">
        <v>229</v>
      </c>
      <c r="D14" s="180" t="s">
        <v>230</v>
      </c>
      <c r="E14" s="180" t="s">
        <v>231</v>
      </c>
      <c r="F14" s="180" t="s">
        <v>232</v>
      </c>
      <c r="G14" s="180" t="s">
        <v>233</v>
      </c>
      <c r="H14" s="180" t="s">
        <v>234</v>
      </c>
      <c r="I14" s="180" t="s">
        <v>235</v>
      </c>
      <c r="L14" s="161" t="s">
        <v>236</v>
      </c>
      <c r="M14" s="14">
        <v>14.0</v>
      </c>
      <c r="N14" s="178"/>
    </row>
    <row r="15" ht="15.75" customHeight="1">
      <c r="B15" s="43" t="s">
        <v>213</v>
      </c>
      <c r="C15" s="43">
        <v>1100.0</v>
      </c>
      <c r="D15" s="43">
        <v>1500.0</v>
      </c>
      <c r="E15" s="43">
        <v>1200.0</v>
      </c>
      <c r="F15" s="43">
        <v>1600.0</v>
      </c>
      <c r="L15" s="181" t="s">
        <v>237</v>
      </c>
      <c r="M15" s="14">
        <v>17.0</v>
      </c>
      <c r="N15" s="178"/>
    </row>
    <row r="16" ht="15.75" customHeight="1">
      <c r="B16" s="43" t="s">
        <v>215</v>
      </c>
      <c r="G16" s="43">
        <v>1700.0</v>
      </c>
      <c r="H16" s="43">
        <v>2200.0</v>
      </c>
      <c r="I16" s="43"/>
      <c r="L16" s="161" t="s">
        <v>225</v>
      </c>
      <c r="M16" s="14">
        <v>16.0</v>
      </c>
      <c r="N16" s="178"/>
    </row>
    <row r="17" ht="15.75" customHeight="1">
      <c r="B17" s="43" t="s">
        <v>218</v>
      </c>
      <c r="D17" s="14"/>
      <c r="E17" s="14"/>
      <c r="G17" s="44">
        <v>2900.0</v>
      </c>
      <c r="H17" s="43">
        <v>3500.0</v>
      </c>
      <c r="I17" s="14" t="s">
        <v>238</v>
      </c>
      <c r="L17" s="182" t="s">
        <v>226</v>
      </c>
      <c r="M17" s="39">
        <v>12.0</v>
      </c>
      <c r="N17" s="183"/>
    </row>
    <row r="18" ht="15.75" customHeight="1">
      <c r="B18" s="14" t="s">
        <v>220</v>
      </c>
      <c r="F18" s="14"/>
      <c r="G18" s="14">
        <v>3100.0</v>
      </c>
      <c r="H18" s="14">
        <v>4000.0</v>
      </c>
      <c r="I18" s="14" t="s">
        <v>238</v>
      </c>
    </row>
    <row r="19" ht="15.75" customHeight="1">
      <c r="B19" s="43" t="s">
        <v>222</v>
      </c>
      <c r="G19" s="43">
        <v>2400.0</v>
      </c>
      <c r="H19" s="43">
        <v>2400.0</v>
      </c>
    </row>
    <row r="20" ht="15.75" customHeight="1">
      <c r="B20" s="43" t="s">
        <v>224</v>
      </c>
      <c r="G20" s="14">
        <v>400.0</v>
      </c>
      <c r="H20" s="14">
        <v>400.0</v>
      </c>
      <c r="I20" s="14" t="s">
        <v>239</v>
      </c>
    </row>
    <row r="21" ht="15.75" customHeight="1">
      <c r="B21" s="14" t="s">
        <v>226</v>
      </c>
      <c r="G21" s="170">
        <v>2000.0</v>
      </c>
      <c r="H21" s="170">
        <v>3000.0</v>
      </c>
    </row>
    <row r="22" ht="15.75" customHeight="1">
      <c r="B22" s="141"/>
      <c r="C22" s="43"/>
      <c r="D22" s="43"/>
      <c r="E22" s="43"/>
      <c r="F22" s="43"/>
      <c r="G22" s="184" t="s">
        <v>240</v>
      </c>
      <c r="H22" s="185"/>
      <c r="I22" s="185"/>
    </row>
    <row r="23" ht="15.75" customHeight="1">
      <c r="B23" s="43"/>
      <c r="E23" s="14"/>
      <c r="F23" s="14"/>
      <c r="G23" s="14"/>
      <c r="H23" s="14"/>
      <c r="I23" s="98"/>
    </row>
    <row r="24" ht="15.75" customHeight="1">
      <c r="B24" s="186" t="s">
        <v>241</v>
      </c>
      <c r="C24" s="151" t="s">
        <v>242</v>
      </c>
      <c r="D24" s="151"/>
      <c r="E24" s="151"/>
      <c r="F24" s="176"/>
      <c r="G24" s="14"/>
      <c r="H24" s="187" t="s">
        <v>243</v>
      </c>
      <c r="I24" s="188"/>
      <c r="J24" s="188"/>
      <c r="K24" s="188"/>
      <c r="L24" s="14"/>
      <c r="M24" s="14"/>
    </row>
    <row r="25" ht="15.75" customHeight="1">
      <c r="B25" s="189" t="s">
        <v>244</v>
      </c>
      <c r="C25" s="190"/>
      <c r="D25" s="191"/>
      <c r="E25" s="192" t="s">
        <v>245</v>
      </c>
      <c r="F25" s="193"/>
      <c r="H25" s="194" t="s">
        <v>246</v>
      </c>
      <c r="I25" s="194" t="s">
        <v>247</v>
      </c>
      <c r="J25" s="195" t="s">
        <v>248</v>
      </c>
      <c r="K25" s="194" t="s">
        <v>102</v>
      </c>
      <c r="L25" s="14"/>
      <c r="M25" s="14"/>
    </row>
    <row r="26" ht="15.75" customHeight="1">
      <c r="B26" s="196" t="s">
        <v>249</v>
      </c>
      <c r="C26" s="191"/>
      <c r="D26" s="191"/>
      <c r="E26" s="197" t="s">
        <v>250</v>
      </c>
      <c r="F26" s="198"/>
      <c r="H26" s="14" t="s">
        <v>251</v>
      </c>
      <c r="I26" s="14">
        <v>1.0</v>
      </c>
      <c r="J26" s="14">
        <v>4000.0</v>
      </c>
      <c r="K26" s="14">
        <v>4000.0</v>
      </c>
    </row>
    <row r="27" ht="15.75" customHeight="1">
      <c r="B27" s="199" t="s">
        <v>252</v>
      </c>
      <c r="C27" s="200">
        <v>246.4</v>
      </c>
      <c r="D27" s="191"/>
      <c r="E27" s="191" t="s">
        <v>253</v>
      </c>
      <c r="F27" s="201">
        <v>500.0</v>
      </c>
      <c r="H27" s="14" t="s">
        <v>254</v>
      </c>
      <c r="I27" s="14">
        <v>3.0</v>
      </c>
      <c r="J27" s="14">
        <v>2500.0</v>
      </c>
      <c r="K27" s="14">
        <v>7500.0</v>
      </c>
    </row>
    <row r="28" ht="15.75" customHeight="1">
      <c r="B28" s="199" t="s">
        <v>255</v>
      </c>
      <c r="C28" s="200">
        <v>4.0</v>
      </c>
      <c r="D28" s="191"/>
      <c r="E28" s="191" t="s">
        <v>247</v>
      </c>
      <c r="F28" s="201">
        <v>5.0</v>
      </c>
      <c r="G28" s="14"/>
      <c r="H28" s="135" t="s">
        <v>256</v>
      </c>
      <c r="I28" s="135">
        <v>2.0</v>
      </c>
      <c r="J28" s="135">
        <v>1250.0</v>
      </c>
      <c r="K28" s="135">
        <v>1500.0</v>
      </c>
    </row>
    <row r="29" ht="15.75" customHeight="1">
      <c r="B29" s="199" t="s">
        <v>257</v>
      </c>
      <c r="C29" s="202">
        <v>9.0</v>
      </c>
      <c r="D29" s="191"/>
      <c r="E29" s="191"/>
      <c r="F29" s="198"/>
      <c r="H29" s="151" t="s">
        <v>180</v>
      </c>
      <c r="I29" s="151"/>
      <c r="J29" s="151"/>
      <c r="K29" s="151">
        <f>SUM(K26:K28)</f>
        <v>13000</v>
      </c>
    </row>
    <row r="30" ht="15.75" customHeight="1">
      <c r="B30" s="199"/>
      <c r="C30" s="191"/>
      <c r="D30" s="191"/>
      <c r="E30" s="203" t="s">
        <v>258</v>
      </c>
      <c r="F30" s="204">
        <f>F27*F28</f>
        <v>2500</v>
      </c>
      <c r="H30" s="205"/>
      <c r="I30" s="205"/>
      <c r="J30" s="205"/>
      <c r="K30" s="205"/>
    </row>
    <row r="31" ht="15.75" customHeight="1">
      <c r="B31" s="206" t="s">
        <v>259</v>
      </c>
      <c r="C31" s="207">
        <f>C27*C28*C29</f>
        <v>8870.4</v>
      </c>
      <c r="D31" s="191"/>
      <c r="E31" s="191"/>
      <c r="F31" s="198"/>
      <c r="H31" s="14" t="s">
        <v>260</v>
      </c>
    </row>
    <row r="32" ht="15.75" customHeight="1">
      <c r="B32" s="199"/>
      <c r="C32" s="191"/>
      <c r="D32" s="191"/>
      <c r="E32" s="191"/>
      <c r="F32" s="198"/>
    </row>
    <row r="33" ht="15.75" customHeight="1">
      <c r="B33" s="196" t="s">
        <v>152</v>
      </c>
      <c r="C33" s="191"/>
      <c r="D33" s="191"/>
      <c r="E33" s="191"/>
      <c r="F33" s="198"/>
    </row>
    <row r="34" ht="15.75" customHeight="1">
      <c r="B34" s="199" t="s">
        <v>261</v>
      </c>
      <c r="C34" s="200">
        <v>4800.0</v>
      </c>
      <c r="D34" s="191"/>
      <c r="E34" s="208" t="s">
        <v>262</v>
      </c>
      <c r="F34" s="209">
        <f>F30-C40</f>
        <v>-13570.4</v>
      </c>
    </row>
    <row r="35" ht="15.75" customHeight="1">
      <c r="B35" s="199" t="s">
        <v>263</v>
      </c>
      <c r="C35" s="200">
        <v>2400.0</v>
      </c>
      <c r="D35" s="191"/>
      <c r="E35" s="191" t="s">
        <v>264</v>
      </c>
      <c r="F35" s="198"/>
    </row>
    <row r="36" ht="15.75" customHeight="1">
      <c r="B36" s="199" t="s">
        <v>265</v>
      </c>
      <c r="C36" s="191"/>
      <c r="D36" s="191"/>
      <c r="E36" s="191"/>
      <c r="F36" s="198"/>
    </row>
    <row r="37" ht="15.75" customHeight="1">
      <c r="B37" s="199"/>
      <c r="C37" s="191"/>
      <c r="D37" s="191"/>
      <c r="E37" s="191"/>
      <c r="F37" s="198"/>
    </row>
    <row r="38" ht="15.75" customHeight="1">
      <c r="B38" s="206" t="s">
        <v>266</v>
      </c>
      <c r="C38" s="207">
        <f>SUM(C34:C36)</f>
        <v>7200</v>
      </c>
      <c r="D38" s="191"/>
      <c r="E38" s="191"/>
      <c r="F38" s="198"/>
    </row>
    <row r="39" ht="15.75" customHeight="1">
      <c r="B39" s="199"/>
      <c r="C39" s="191"/>
      <c r="D39" s="191"/>
      <c r="E39" s="191"/>
      <c r="F39" s="198"/>
    </row>
    <row r="40" ht="15.75" customHeight="1">
      <c r="B40" s="210" t="s">
        <v>267</v>
      </c>
      <c r="C40" s="207">
        <f>C31+C38</f>
        <v>16070.4</v>
      </c>
      <c r="D40" s="190"/>
      <c r="E40" s="190"/>
      <c r="F40" s="193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30.57"/>
    <col customWidth="1" min="3" max="3" width="13.43"/>
  </cols>
  <sheetData>
    <row r="1">
      <c r="B1" s="43"/>
    </row>
    <row r="2">
      <c r="B2" s="43" t="s">
        <v>268</v>
      </c>
      <c r="D2" s="43"/>
      <c r="F2" s="43"/>
    </row>
    <row r="3">
      <c r="B3" s="43"/>
      <c r="D3" s="43"/>
      <c r="F3" s="14"/>
    </row>
    <row r="4">
      <c r="B4" s="211" t="s">
        <v>269</v>
      </c>
      <c r="C4" s="151"/>
      <c r="D4" s="151"/>
      <c r="E4" s="151"/>
      <c r="F4" s="176"/>
    </row>
    <row r="5">
      <c r="B5" s="212"/>
      <c r="C5" s="14"/>
      <c r="D5" s="43"/>
      <c r="F5" s="178"/>
    </row>
    <row r="6">
      <c r="B6" s="213" t="s">
        <v>270</v>
      </c>
      <c r="C6" s="14"/>
      <c r="D6" s="14"/>
      <c r="F6" s="178"/>
    </row>
    <row r="7">
      <c r="B7" s="214" t="s">
        <v>271</v>
      </c>
      <c r="C7" s="14">
        <v>45000.0</v>
      </c>
      <c r="D7" s="14"/>
      <c r="F7" s="178"/>
      <c r="K7" s="98"/>
      <c r="L7" s="98"/>
      <c r="M7" s="98"/>
    </row>
    <row r="8">
      <c r="B8" s="181" t="s">
        <v>272</v>
      </c>
      <c r="C8" s="14">
        <v>5000.0</v>
      </c>
      <c r="D8" s="14" t="s">
        <v>273</v>
      </c>
      <c r="F8" s="178"/>
    </row>
    <row r="9">
      <c r="B9" s="181"/>
      <c r="F9" s="178"/>
    </row>
    <row r="10">
      <c r="B10" s="211" t="s">
        <v>180</v>
      </c>
      <c r="C10" s="215">
        <f>SUM(C5:C9)</f>
        <v>50000</v>
      </c>
      <c r="D10" s="39"/>
      <c r="E10" s="39"/>
      <c r="F10" s="183"/>
    </row>
    <row r="13">
      <c r="B13" s="216" t="s">
        <v>274</v>
      </c>
      <c r="C13" s="176"/>
    </row>
    <row r="14">
      <c r="B14" s="181" t="s">
        <v>275</v>
      </c>
      <c r="C14" s="178">
        <v>10000.0</v>
      </c>
    </row>
    <row r="15">
      <c r="B15" s="181" t="s">
        <v>276</v>
      </c>
      <c r="C15" s="217">
        <v>4000.0</v>
      </c>
    </row>
    <row r="16">
      <c r="B16" s="218" t="s">
        <v>277</v>
      </c>
      <c r="C16" s="219">
        <v>5000.0</v>
      </c>
      <c r="F16" s="194"/>
    </row>
    <row r="17">
      <c r="B17" s="182" t="s">
        <v>190</v>
      </c>
      <c r="C17" s="183">
        <f>SUM(C14:C16)</f>
        <v>19000</v>
      </c>
    </row>
    <row r="20">
      <c r="B20" s="220" t="s">
        <v>278</v>
      </c>
      <c r="C20" s="151"/>
      <c r="D20" s="176"/>
      <c r="E20" s="14"/>
      <c r="F20" s="14"/>
      <c r="G20" s="14"/>
    </row>
    <row r="21" ht="15.75" customHeight="1">
      <c r="B21" s="161" t="s">
        <v>279</v>
      </c>
      <c r="D21" s="217">
        <v>15000.0</v>
      </c>
      <c r="E21" s="14"/>
      <c r="K21" s="221"/>
      <c r="L21" s="191"/>
      <c r="M21" s="191"/>
      <c r="N21" s="191"/>
    </row>
    <row r="22" ht="15.75" customHeight="1">
      <c r="B22" s="161" t="s">
        <v>280</v>
      </c>
      <c r="D22" s="217">
        <v>8000.0</v>
      </c>
      <c r="E22" s="14" t="s">
        <v>281</v>
      </c>
      <c r="K22" s="221"/>
      <c r="L22" s="222"/>
      <c r="M22" s="191"/>
      <c r="N22" s="191"/>
    </row>
    <row r="23" ht="15.75" customHeight="1">
      <c r="B23" s="161" t="s">
        <v>282</v>
      </c>
      <c r="D23" s="178">
        <f>265*4</f>
        <v>1060</v>
      </c>
      <c r="E23" s="14"/>
      <c r="K23" s="191"/>
      <c r="L23" s="191"/>
      <c r="M23" s="191"/>
      <c r="N23" s="191"/>
    </row>
    <row r="24" ht="15.75" customHeight="1">
      <c r="B24" s="167" t="s">
        <v>283</v>
      </c>
      <c r="C24" s="39"/>
      <c r="D24" s="223">
        <v>250.0</v>
      </c>
      <c r="E24" s="14"/>
      <c r="K24" s="191"/>
      <c r="L24" s="191"/>
      <c r="M24" s="191"/>
      <c r="N24" s="191"/>
    </row>
    <row r="25" ht="15.75" customHeight="1">
      <c r="B25" s="182" t="s">
        <v>190</v>
      </c>
      <c r="C25" s="39"/>
      <c r="D25" s="183">
        <f>SUM(D21:D24)</f>
        <v>24310</v>
      </c>
      <c r="K25" s="191"/>
      <c r="L25" s="162"/>
      <c r="M25" s="191"/>
      <c r="N25" s="171"/>
    </row>
    <row r="26" ht="15.75" customHeight="1">
      <c r="K26" s="191"/>
      <c r="L26" s="164"/>
      <c r="M26" s="191"/>
      <c r="N26" s="224"/>
    </row>
    <row r="27" ht="15.75" customHeight="1">
      <c r="B27" s="14" t="s">
        <v>284</v>
      </c>
      <c r="K27" s="191"/>
      <c r="L27" s="164"/>
      <c r="M27" s="191"/>
      <c r="N27" s="224"/>
    </row>
    <row r="28" ht="15.75" customHeight="1">
      <c r="B28" s="14" t="s">
        <v>285</v>
      </c>
      <c r="K28" s="191"/>
      <c r="L28" s="224"/>
      <c r="M28" s="191"/>
      <c r="N28" s="224"/>
    </row>
    <row r="29" ht="15.75" customHeight="1">
      <c r="K29" s="191"/>
      <c r="L29" s="224"/>
      <c r="M29" s="191"/>
      <c r="N29" s="224"/>
    </row>
    <row r="30" ht="15.75" customHeight="1">
      <c r="K30" s="191"/>
      <c r="L30" s="191"/>
      <c r="M30" s="191"/>
      <c r="N30" s="224"/>
    </row>
    <row r="31" ht="15.75" customHeight="1">
      <c r="K31" s="191"/>
      <c r="L31" s="191"/>
      <c r="M31" s="191"/>
      <c r="N31" s="224"/>
    </row>
    <row r="32" ht="15.75" customHeight="1">
      <c r="K32" s="191"/>
      <c r="L32" s="191"/>
      <c r="M32" s="191"/>
      <c r="N32" s="224"/>
    </row>
    <row r="33" ht="15.75" customHeight="1">
      <c r="K33" s="191"/>
      <c r="L33" s="191"/>
      <c r="M33" s="191"/>
      <c r="N33" s="224"/>
    </row>
    <row r="34" ht="15.75" customHeight="1">
      <c r="K34" s="191"/>
      <c r="L34" s="191"/>
      <c r="M34" s="191"/>
      <c r="N34" s="224"/>
    </row>
    <row r="35" ht="15.75" customHeight="1">
      <c r="K35" s="191"/>
      <c r="L35" s="191"/>
      <c r="M35" s="191"/>
      <c r="N35" s="224"/>
    </row>
    <row r="36" ht="15.75" customHeight="1">
      <c r="K36" s="191"/>
      <c r="L36" s="191"/>
      <c r="M36" s="191"/>
      <c r="N36" s="224"/>
    </row>
    <row r="37" ht="15.75" customHeight="1">
      <c r="K37" s="191"/>
      <c r="L37" s="191"/>
      <c r="M37" s="191"/>
      <c r="N37" s="224"/>
    </row>
    <row r="38" ht="15.75" customHeight="1">
      <c r="K38" s="171"/>
      <c r="L38" s="164"/>
      <c r="M38" s="191"/>
      <c r="N38" s="225"/>
    </row>
    <row r="39" ht="15.75" customHeight="1">
      <c r="K39" s="191"/>
      <c r="L39" s="191"/>
      <c r="M39" s="191"/>
      <c r="N39" s="191"/>
    </row>
    <row r="40" ht="15.75" customHeight="1">
      <c r="K40" s="191"/>
      <c r="L40" s="191"/>
      <c r="M40" s="191"/>
      <c r="N40" s="226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2021-11-04T08:43:36Z</dcterms:created>
  <dc:creator>Sjoerd Boersma</dc:creator>
</cp:coreProperties>
</file>