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sjett 2023" sheetId="1" r:id="rId4"/>
    <sheet state="visible" name="Arrangement" sheetId="2" r:id="rId5"/>
    <sheet state="visible" name="Medlemskontigent" sheetId="3" r:id="rId6"/>
    <sheet state="visible" name="Treningsbudsjett" sheetId="4" r:id="rId7"/>
    <sheet state="visible" name="Kurs" sheetId="5" r:id="rId8"/>
    <sheet state="visible" name="Driftstilskudd" sheetId="6" r:id="rId9"/>
    <sheet state="visible" name="Forsikring" sheetId="7" r:id="rId10"/>
    <sheet state="visible" name="Øvrige " sheetId="8" r:id="rId11"/>
  </sheets>
  <definedNames>
    <definedName name="feriepengesats">'Budsjett 2023'!$B$6</definedName>
    <definedName hidden="1" name="Google_Sheet_Link_1169062627">feriepengesats</definedName>
  </definedNames>
  <calcPr/>
  <extLst>
    <ext uri="GoogleSheetsCustomDataVersion1">
      <go:sheetsCustomData xmlns:go="http://customooxmlschemas.google.com/" r:id="rId12" roundtripDataSignature="AMtx7mjoWGYWHamzBfwkq+xmNPmls8CtNA=="/>
    </ext>
  </extLst>
</workbook>
</file>

<file path=xl/comments1.xml><?xml version="1.0" encoding="utf-8"?>
<comments xmlns:r="http://schemas.openxmlformats.org/officeDocument/2006/relationships" xmlns="http://schemas.openxmlformats.org/spreadsheetml/2006/main">
  <authors>
    <author/>
  </authors>
  <commentList>
    <comment authorId="0" ref="H4">
      <text>
        <t xml:space="preserve">======
ID#AAAAoUsD0lg
Bratte Rogalands Venner    (2023-01-16 09:04:29)
kapasitet 14, men 4 er på kombi</t>
      </text>
    </comment>
    <comment authorId="0" ref="H3">
      <text>
        <t xml:space="preserve">======
ID#AAAAoUsD0lc
Bratte Rogalands Venner    (2023-01-16 09:04:24)
kapasitet 14, men 4 er på kombi</t>
      </text>
    </comment>
    <comment authorId="0" ref="B2">
      <text>
        <t xml:space="preserve">======
ID#AAAAjm3C3X0
Bratte Rogalands Venner    (2022-11-09 07:23:34)
oppdatert 9.11</t>
      </text>
    </comment>
  </commentList>
  <extLst>
    <ext uri="GoogleSheetsCustomDataVersion1">
      <go:sheetsCustomData xmlns:go="http://customooxmlschemas.google.com/" r:id="rId1" roundtripDataSignature="AMtx7mjkGK8ffg9QwbZUJVekSz06FFPe5g=="/>
    </ext>
  </extLst>
</comments>
</file>

<file path=xl/sharedStrings.xml><?xml version="1.0" encoding="utf-8"?>
<sst xmlns="http://schemas.openxmlformats.org/spreadsheetml/2006/main" count="289" uniqueCount="259">
  <si>
    <t>Budsjett 2023</t>
  </si>
  <si>
    <t>Bratte Rogalands Venner</t>
  </si>
  <si>
    <t>Endringer i regnskapsføring 2023</t>
  </si>
  <si>
    <t>Forutsettninger for budsjettet ligger beskrevet i fanene</t>
  </si>
  <si>
    <t xml:space="preserve">Vi lar konto 4010 kurs være KUN for kurs. Den var tidligere for både kurs og alle arrangement og het da "Kurs/foredrag". </t>
  </si>
  <si>
    <t xml:space="preserve">Feriepengesats: </t>
  </si>
  <si>
    <t>Vi flytter pizza fra styremøter og lignende over til konto 6860 Møte, kurs, oppdatering o.l.</t>
  </si>
  <si>
    <t>Vi lar utgiftskonto "4230 Sosiale utgifter, møter, samlinger" være til klubbkveld, samlinger, arrangement av ymse slag og film/foredrag og leie av lokaler til disse</t>
  </si>
  <si>
    <t>For å ha en inntektsskonto til billetter og sosiale formål bruker vi heretter 3280 billetter</t>
  </si>
  <si>
    <t xml:space="preserve">3270 salg av klær må inn i budsjettet under inntekter (klær ble i 2022 solgt under 3250 utstyr). Utgiftssiden for merch blir ført på 7320 reklamekostnader </t>
  </si>
  <si>
    <t>Regnskap 2022</t>
  </si>
  <si>
    <t>2022 Budsjett</t>
  </si>
  <si>
    <r>
      <rPr>
        <rFont val="Calibri"/>
        <color rgb="FF000000"/>
        <sz val="10.0"/>
      </rPr>
      <t>   </t>
    </r>
    <r>
      <rPr>
        <rFont val="Calibri"/>
        <b/>
        <color rgb="FF000000"/>
        <sz val="10.0"/>
      </rPr>
      <t>Driftsinntekter</t>
    </r>
  </si>
  <si>
    <r>
      <rPr>
        <rFont val="Calibri"/>
        <color rgb="FF000000"/>
        <sz val="10.0"/>
      </rPr>
      <t>      </t>
    </r>
    <r>
      <rPr>
        <rFont val="Calibri"/>
        <b/>
        <color rgb="FF000000"/>
        <sz val="10.0"/>
      </rPr>
      <t>Salgsinntekter</t>
    </r>
  </si>
  <si>
    <t>         3100 Treningsavgift</t>
  </si>
  <si>
    <t>         3200 Medlemskontingent</t>
  </si>
  <si>
    <t>         3201 Kurs</t>
  </si>
  <si>
    <t>         3210 Grasrotandel</t>
  </si>
  <si>
    <t>Baser på tall fra de siste tre årene</t>
  </si>
  <si>
    <t>         3220 Klatrefører Rogland</t>
  </si>
  <si>
    <t>         3250 Utstyr</t>
  </si>
  <si>
    <t>         3260 Utleie av utstyr</t>
  </si>
  <si>
    <t>Utleie av pads og støtte av nettfører</t>
  </si>
  <si>
    <t xml:space="preserve">         3270 Salg av klær</t>
  </si>
  <si>
    <t>Salg av skjorter og gensere</t>
  </si>
  <si>
    <t>         3280 Billetter</t>
  </si>
  <si>
    <t>Alle arrangement utenom årsfest</t>
  </si>
  <si>
    <r>
      <rPr>
        <rFont val="Calibri"/>
        <color rgb="FF000000"/>
        <sz val="10.0"/>
      </rPr>
      <t>      </t>
    </r>
    <r>
      <rPr>
        <rFont val="Calibri"/>
        <b/>
        <color rgb="FF000000"/>
        <sz val="10.0"/>
      </rPr>
      <t>Salgsinntekter</t>
    </r>
  </si>
  <si>
    <r>
      <rPr>
        <rFont val="Calibri"/>
        <color rgb="FF000000"/>
        <sz val="10.0"/>
      </rPr>
      <t>      </t>
    </r>
    <r>
      <rPr>
        <rFont val="Calibri"/>
        <b/>
        <color rgb="FF000000"/>
        <sz val="10.0"/>
      </rPr>
      <t>Annen driftsinntekt</t>
    </r>
  </si>
  <si>
    <t>         3440 Tilskudd drift</t>
  </si>
  <si>
    <t>Noter: regnskap 22, 90.000 er for mentorordning</t>
  </si>
  <si>
    <t>         3500 Årsfest</t>
  </si>
  <si>
    <t>Estimert basert på regnskap 2022</t>
  </si>
  <si>
    <t>         3550 Gaver</t>
  </si>
  <si>
    <t>Støtte til klubben</t>
  </si>
  <si>
    <r>
      <rPr>
        <rFont val="Calibri"/>
        <color rgb="FF000000"/>
        <sz val="10.0"/>
      </rPr>
      <t>      </t>
    </r>
    <r>
      <rPr>
        <rFont val="Calibri"/>
        <b/>
        <color rgb="FF000000"/>
        <sz val="10.0"/>
      </rPr>
      <t>Annen driftsinntekt</t>
    </r>
  </si>
  <si>
    <r>
      <rPr>
        <rFont val="Calibri"/>
        <color rgb="FF000000"/>
        <sz val="10.0"/>
      </rPr>
      <t>   </t>
    </r>
    <r>
      <rPr>
        <rFont val="Calibri"/>
        <b/>
        <color rgb="FF000000"/>
        <sz val="10.0"/>
      </rPr>
      <t>Driftsinntekter</t>
    </r>
  </si>
  <si>
    <t>Estimert tall 2021 ligger for å beregne momsrefusjon</t>
  </si>
  <si>
    <r>
      <rPr>
        <rFont val="Calibri"/>
        <color rgb="FF000000"/>
        <sz val="10.0"/>
      </rPr>
      <t>   </t>
    </r>
    <r>
      <rPr>
        <rFont val="Calibri"/>
        <b/>
        <color rgb="FF000000"/>
        <sz val="10.0"/>
      </rPr>
      <t>Driftskostnader</t>
    </r>
  </si>
  <si>
    <r>
      <rPr>
        <rFont val="Calibri"/>
        <color rgb="FF000000"/>
        <sz val="10.0"/>
      </rPr>
      <t>      </t>
    </r>
    <r>
      <rPr>
        <rFont val="Calibri"/>
        <b/>
        <color rgb="FF000000"/>
        <sz val="10.0"/>
      </rPr>
      <t>Varekostnad</t>
    </r>
  </si>
  <si>
    <t>         4010 Kurs</t>
  </si>
  <si>
    <t>Denne posten er splittet fom 2023 for bedre oversikt, før innehold den alt av utgifter til sosiale sammenkomster og kompetansehevinstiltak for trenere. Inneholder nå 5000 for veilederkurs til tradinstruktør, utsatt fra 2022</t>
  </si>
  <si>
    <t>         4210 Treningsutgifter</t>
  </si>
  <si>
    <t xml:space="preserve">Se arket "treningsbudsjett" for detaljer. </t>
  </si>
  <si>
    <t>         4220 Konkurranse, reiser</t>
  </si>
  <si>
    <t xml:space="preserve">6 konker i året. </t>
  </si>
  <si>
    <t>         4230 Sosiale utgifter, møter samlinger</t>
  </si>
  <si>
    <t xml:space="preserve">40.000 til div sosiale arrangement. (VC ligger også inni her - 10.000. Tilskudd fra NKF på 10.000 ligger i posten tilskudd) </t>
  </si>
  <si>
    <t>         4500 Årsfest</t>
  </si>
  <si>
    <t xml:space="preserve">Klubben støtter med 20000 i tillegg til det som hentes fra billett inntekter. Vi gikk i minus 2022 fordi et bord ble ødelagt som vi måtte erstatte. </t>
  </si>
  <si>
    <r>
      <rPr>
        <rFont val="Calibri"/>
        <color rgb="FF000000"/>
        <sz val="10.0"/>
      </rPr>
      <t>      </t>
    </r>
    <r>
      <rPr>
        <rFont val="Calibri"/>
        <b/>
        <color rgb="FF000000"/>
        <sz val="10.0"/>
      </rPr>
      <t>Varekostnad</t>
    </r>
  </si>
  <si>
    <r>
      <rPr>
        <rFont val="Calibri"/>
        <color rgb="FF000000"/>
        <sz val="10.0"/>
      </rPr>
      <t>      </t>
    </r>
    <r>
      <rPr>
        <rFont val="Calibri"/>
        <b/>
        <color rgb="FF000000"/>
        <sz val="10.0"/>
      </rPr>
      <t>Lønnskostnad</t>
    </r>
  </si>
  <si>
    <t xml:space="preserve">         5000 Lønn til ansatte </t>
  </si>
  <si>
    <t xml:space="preserve">Regnskap 2022 inkl paraansvarlig frem tom august. Tall for 2023 er kun for daglig leder i 60% stilling. </t>
  </si>
  <si>
    <t>         5010 Timelønn (trenere og interne kursholdere ink. feriepenger)</t>
  </si>
  <si>
    <t xml:space="preserve">Lønnsutgifter for kurs, trenere og vikarer, inkluderer feriepenger </t>
  </si>
  <si>
    <t>         5020 Feriepenger (12%) (kun fastansatte)</t>
  </si>
  <si>
    <t>         5400 Arbeidsgiveravgift (14.1%) (kun fastansatte)</t>
  </si>
  <si>
    <t>Beregnes av lønn ansatte + feriepenger ansatte</t>
  </si>
  <si>
    <t>         5990 Annen personalkostnad (pensjon)</t>
  </si>
  <si>
    <t>Pensjon fast ansatt</t>
  </si>
  <si>
    <r>
      <rPr>
        <rFont val="Calibri"/>
        <color rgb="FF000000"/>
        <sz val="10.0"/>
      </rPr>
      <t>      </t>
    </r>
    <r>
      <rPr>
        <rFont val="Calibri"/>
        <b/>
        <color rgb="FF000000"/>
        <sz val="10.0"/>
      </rPr>
      <t>Lønnskostnad</t>
    </r>
  </si>
  <si>
    <r>
      <rPr>
        <rFont val="Calibri"/>
        <color rgb="FF000000"/>
        <sz val="10.0"/>
      </rPr>
      <t>      </t>
    </r>
    <r>
      <rPr>
        <rFont val="Calibri"/>
        <b/>
        <color rgb="FF000000"/>
        <sz val="10.0"/>
      </rPr>
      <t>Annen driftskostnad</t>
    </r>
  </si>
  <si>
    <t>         6300 Leie lokale</t>
  </si>
  <si>
    <t>Til feks årsmøte</t>
  </si>
  <si>
    <t>         6420 Leie datasystemer</t>
  </si>
  <si>
    <t>Serverplass brv.no, mail og nettførere samt regnskapssystem og nettbutikk, Google One konto for tilstrekkelig kapasitet på BRVs skylagring og epost</t>
  </si>
  <si>
    <t>         6620 Reparasjon og vedlikehold av utstyr</t>
  </si>
  <si>
    <t>Reprasjon av klatresko</t>
  </si>
  <si>
    <t>         6700 Regnskapshonorar</t>
  </si>
  <si>
    <t>Basert på regnskapstall 2022</t>
  </si>
  <si>
    <t>         6800 Kontorrekvisita</t>
  </si>
  <si>
    <t>         6810 Data/EDB-kostnad</t>
  </si>
  <si>
    <t>Til ny PC, skjerm etc</t>
  </si>
  <si>
    <t>         6860 Møte, kurs, oppdatering o.l.</t>
  </si>
  <si>
    <t>Kompetanseheving fast ansatte ligger her, samt utgifter til dugnader og styremøter. De sistnevnte utgiftene ble ført på en annen post tidligere år.</t>
  </si>
  <si>
    <t>         6870 Medlemsskap NKF</t>
  </si>
  <si>
    <t>Basert på 790 medlemmer, 20kr hodet</t>
  </si>
  <si>
    <t>         6900 Telefon</t>
  </si>
  <si>
    <t>Telefon Stian + kontantkort BRV telefon. Vi har en mindre ansatt å betale telefon for i 2023, derfor er summen lavere enn i regnskapet</t>
  </si>
  <si>
    <t>         7300 Utstyr</t>
  </si>
  <si>
    <t>Tau, taubrems og sko til treningsgruppene og til kursbruk. Også drill og utstyr til utebruk</t>
  </si>
  <si>
    <t>         7305 Diverse utgifter</t>
  </si>
  <si>
    <t>Småinnkjøp av DL</t>
  </si>
  <si>
    <t>         7310 Bolting</t>
  </si>
  <si>
    <t>Her må vi øke fra de opprinnelige 6000 i fjor</t>
  </si>
  <si>
    <t>         7320 Reklamekostnad</t>
  </si>
  <si>
    <t>kalendere + konkurranse klær</t>
  </si>
  <si>
    <t>         7420 Gave, fradragsberettiget</t>
  </si>
  <si>
    <t>Julegave trenere</t>
  </si>
  <si>
    <t>         7500 Forsikringspremie</t>
  </si>
  <si>
    <t>2022 forsikringen ble betalt i desember 2021, sum 7462. Derav lav sum i regnskapet</t>
  </si>
  <si>
    <t>         7770 Bank og kortgebyrer</t>
  </si>
  <si>
    <r>
      <rPr>
        <rFont val="Calibri"/>
        <color rgb="FF000000"/>
        <sz val="10.0"/>
      </rPr>
      <t>      </t>
    </r>
    <r>
      <rPr>
        <rFont val="Calibri"/>
        <b/>
        <color rgb="FF000000"/>
        <sz val="10.0"/>
      </rPr>
      <t>Annen driftskostnad</t>
    </r>
  </si>
  <si>
    <r>
      <rPr>
        <rFont val="Calibri"/>
        <color rgb="FF000000"/>
        <sz val="10.0"/>
      </rPr>
      <t>   </t>
    </r>
    <r>
      <rPr>
        <rFont val="Calibri"/>
        <b/>
        <color rgb="FF000000"/>
        <sz val="10.0"/>
      </rPr>
      <t>Driftskostnader</t>
    </r>
  </si>
  <si>
    <t>Driftsresultat</t>
  </si>
  <si>
    <t xml:space="preserve">Vi setter av en sum til arrangementkomiteen kan disponere, unntaket er årsfesten som er en egen budsjettpost. </t>
  </si>
  <si>
    <t>Denne posten omfavner ting som</t>
  </si>
  <si>
    <t>Klatresamlinger</t>
  </si>
  <si>
    <t>Klubbkvelder</t>
  </si>
  <si>
    <t>Workshops</t>
  </si>
  <si>
    <t>Foredrag</t>
  </si>
  <si>
    <t>Filmvisning</t>
  </si>
  <si>
    <t>Dugnader</t>
  </si>
  <si>
    <t xml:space="preserve">Medlemskontigent </t>
  </si>
  <si>
    <t>Pris</t>
  </si>
  <si>
    <t xml:space="preserve">Antall </t>
  </si>
  <si>
    <t>sum</t>
  </si>
  <si>
    <t>Voksen</t>
  </si>
  <si>
    <t>Barn</t>
  </si>
  <si>
    <t>Betalingsgebyr</t>
  </si>
  <si>
    <t>Sum totalt</t>
  </si>
  <si>
    <t>Gruppene jan - des 2023</t>
  </si>
  <si>
    <t>Antall Uker</t>
  </si>
  <si>
    <t>Uketimer</t>
  </si>
  <si>
    <t>Trener 185</t>
  </si>
  <si>
    <t>Trener 220</t>
  </si>
  <si>
    <t>Totale lønnsutgifter</t>
  </si>
  <si>
    <t>Antall deltakere</t>
  </si>
  <si>
    <t>Semesteravgift hele 2022</t>
  </si>
  <si>
    <t>Sum Inntekt</t>
  </si>
  <si>
    <t>Differanse</t>
  </si>
  <si>
    <t>timepris</t>
  </si>
  <si>
    <t>Tau ungdom</t>
  </si>
  <si>
    <t xml:space="preserve">Buldring Ungdom </t>
  </si>
  <si>
    <t xml:space="preserve">Buldring 3. til 4. klasse </t>
  </si>
  <si>
    <t>Konkpakken</t>
  </si>
  <si>
    <t>Konkurransegruppe</t>
  </si>
  <si>
    <t>Forslag til nye støtteordninger konkgruppen 2023</t>
  </si>
  <si>
    <t>Buldring 5. til 6. klasse</t>
  </si>
  <si>
    <t xml:space="preserve">Paraklatring </t>
  </si>
  <si>
    <t>Dekning av konkavgift konkgruppen:</t>
  </si>
  <si>
    <t>Kombi tau og buldring ungdom</t>
  </si>
  <si>
    <t>Deltakere</t>
  </si>
  <si>
    <t xml:space="preserve">Seniorklatring </t>
  </si>
  <si>
    <t>Snitt deltakelse</t>
  </si>
  <si>
    <t>6 timer adm arbeid i året for konkgruppen (Fredric)</t>
  </si>
  <si>
    <t>Pris per hode</t>
  </si>
  <si>
    <t>Trenermøte</t>
  </si>
  <si>
    <t>konker i året</t>
  </si>
  <si>
    <t>Total oversikt inntekter og kostnader for treningstilbudet</t>
  </si>
  <si>
    <t>Overslag</t>
  </si>
  <si>
    <t>Trening utomhus (SiS/Air)</t>
  </si>
  <si>
    <t>SiS drop in</t>
  </si>
  <si>
    <t xml:space="preserve">Alle kostnader relatert til trening: </t>
  </si>
  <si>
    <t>Fakturagebyr</t>
  </si>
  <si>
    <t>Antall ganger</t>
  </si>
  <si>
    <t>Konkpakken (se boks)</t>
  </si>
  <si>
    <t>Grunnlag for beregning av treningsinntekter og utgifter:</t>
  </si>
  <si>
    <t>Inntekt grupper fratrukket lønnskostnad</t>
  </si>
  <si>
    <t>Vikarbudsjett</t>
  </si>
  <si>
    <t>Sum konkpakke</t>
  </si>
  <si>
    <t>Satser inkl feriepenger</t>
  </si>
  <si>
    <t>Trenerreiser h21</t>
  </si>
  <si>
    <t xml:space="preserve">Justert ned 5000 </t>
  </si>
  <si>
    <t>Timelønn 1</t>
  </si>
  <si>
    <t>Folkekort senioransvarlig</t>
  </si>
  <si>
    <t>Timelønn 2</t>
  </si>
  <si>
    <t>Utstyr</t>
  </si>
  <si>
    <t>tau, sko, seler, taubrems etc</t>
  </si>
  <si>
    <t>Kompetanseheving</t>
  </si>
  <si>
    <t xml:space="preserve">Trenerkurs og klatreinstruktørkurs, samt kontingent for nasjonalklubbsamlign eller trenersamling om det er aktuelt </t>
  </si>
  <si>
    <t>Sats semesteravgift</t>
  </si>
  <si>
    <t xml:space="preserve">Tau 13-17 </t>
  </si>
  <si>
    <t>Mat/drikke trenermøte</t>
  </si>
  <si>
    <t>SUM</t>
  </si>
  <si>
    <t xml:space="preserve">Buldring 5. til 6. klasse </t>
  </si>
  <si>
    <t>Paraklatring</t>
  </si>
  <si>
    <t>Seniorgruppe</t>
  </si>
  <si>
    <t>Kurs solgt av BRV</t>
  </si>
  <si>
    <t>Kurstype</t>
  </si>
  <si>
    <t>Antall kurs</t>
  </si>
  <si>
    <t>Lønn per instruktør</t>
  </si>
  <si>
    <t>Utgifter Totalt</t>
  </si>
  <si>
    <t>Antall deltagere Medlem</t>
  </si>
  <si>
    <t>Antall deltagere Ikke medlem</t>
  </si>
  <si>
    <t>Inntekt Totalt</t>
  </si>
  <si>
    <t>Brattkort</t>
  </si>
  <si>
    <t>Lønnsatser 2023</t>
  </si>
  <si>
    <t>Oppfølgingskurs</t>
  </si>
  <si>
    <t>Sats hovedinstruktør</t>
  </si>
  <si>
    <t>Sats medinstruktør</t>
  </si>
  <si>
    <t>Inne til ute</t>
  </si>
  <si>
    <t>Brattkort/oppfølgingskurs</t>
  </si>
  <si>
    <t>Tradkurs</t>
  </si>
  <si>
    <t>om de ikke har sport 1 utdanning eller høyere</t>
  </si>
  <si>
    <t>Klatreinstruktør inne</t>
  </si>
  <si>
    <t>Sum</t>
  </si>
  <si>
    <t>Klatreinstr. inne</t>
  </si>
  <si>
    <t>Timeantall inkl forberedelse</t>
  </si>
  <si>
    <t>Grunnlag for inntektsberegning - deltakerpris</t>
  </si>
  <si>
    <t>Medlem 13-18 år</t>
  </si>
  <si>
    <t>Ikke-medlem 13-18 år</t>
  </si>
  <si>
    <t>Medlem over 18 år</t>
  </si>
  <si>
    <t>Ikke medlem over 18 år</t>
  </si>
  <si>
    <t>Fastpris Medlem alle aldre</t>
  </si>
  <si>
    <t>Fastpris Ikke medlem alle aldre</t>
  </si>
  <si>
    <t>Notat</t>
  </si>
  <si>
    <t>Tradkurs type 1</t>
  </si>
  <si>
    <t>Inne-ute</t>
  </si>
  <si>
    <t>Samme pris som DNT</t>
  </si>
  <si>
    <t>Tradkurs type 2</t>
  </si>
  <si>
    <t>uvisst, ikke laget mal enda</t>
  </si>
  <si>
    <t xml:space="preserve">Tradkurs </t>
  </si>
  <si>
    <t>Inkl lån av BRVs tradutstyr</t>
  </si>
  <si>
    <t>Nytt kurs 2023</t>
  </si>
  <si>
    <t>Utgifter til utstyr - kurs</t>
  </si>
  <si>
    <t>Enhetspris</t>
  </si>
  <si>
    <t>Antall</t>
  </si>
  <si>
    <t>6 tau - 350m pakke</t>
  </si>
  <si>
    <t>6 geometrisk assisterte taubremser med biner</t>
  </si>
  <si>
    <t>Sum kursutstyr</t>
  </si>
  <si>
    <t>7300 utstyr</t>
  </si>
  <si>
    <t>Ytterligere 5000 kr for veilederkurs til tradinstruktør som utsatt fra 2022 er ført som utgift under 4010 kurs</t>
  </si>
  <si>
    <t>Budsjett midler/tilskudd</t>
  </si>
  <si>
    <t xml:space="preserve">Tilleggsinfo og forventet utbetaling basert på fjoråret </t>
  </si>
  <si>
    <t>Lokale aktivitetsmidler (NIF)</t>
  </si>
  <si>
    <t xml:space="preserve">Utbetalt slutten av november 2022. </t>
  </si>
  <si>
    <t>Kommunale driftsmidler (via Idrettsrådet)</t>
  </si>
  <si>
    <t>Halve i juni og halve i des 2022</t>
  </si>
  <si>
    <t>Tilskudd fast ansatt fra kommunen (daglig leder 60% stilling)</t>
  </si>
  <si>
    <t>Søkes på innen 1. november året før, tildeles/utbetales i mars</t>
  </si>
  <si>
    <t>Momskompensasjon</t>
  </si>
  <si>
    <t>Utbetales desember. Sum baserer seg på X antall prosent (8% de siste årene) av våre totalt driftskostand (lønn inkl) = kompensasjon utbetalt. Prosentsatsen kan variere fra år til år</t>
  </si>
  <si>
    <t>Tilskudd fra NKF ved Vestlandscup</t>
  </si>
  <si>
    <t>Søkes på når vi avtaler tildeling med de andre klubbene</t>
  </si>
  <si>
    <t xml:space="preserve"> </t>
  </si>
  <si>
    <t>Lokale aktivitetsmidler (LAM)</t>
  </si>
  <si>
    <t>Sats</t>
  </si>
  <si>
    <t xml:space="preserve">ungdom f.o.m. 13 – t.o.m. 19 år </t>
  </si>
  <si>
    <t>barn f.o.m. 6 – t.o.m 12</t>
  </si>
  <si>
    <t>Kommunale driftmidler</t>
  </si>
  <si>
    <t>barn og ungdom 6-25</t>
  </si>
  <si>
    <t>0-5 år gruppen utgår 2023. Vi har ingen medlemmer helller her lenger</t>
  </si>
  <si>
    <t>Sum i midler per stykk disse i aldersgruppene er altså</t>
  </si>
  <si>
    <t>Kroner i året</t>
  </si>
  <si>
    <t>Detaljer om nåværende forsikring per januar 2023</t>
  </si>
  <si>
    <t>Grunnpris og gjenstående sum fra tidligere avtaleperiode</t>
  </si>
  <si>
    <t xml:space="preserve">Ansvar for styret </t>
  </si>
  <si>
    <t>Ansvarsforsikring</t>
  </si>
  <si>
    <t>Dugnad, organisasjoner, klubb/korps (770 medlemmer)</t>
  </si>
  <si>
    <t>kriminalitet</t>
  </si>
  <si>
    <t>personal- med antallsoppgave</t>
  </si>
  <si>
    <t>Rettshjelpsforsikring</t>
  </si>
  <si>
    <t>Utstyrsforsikring/eiendeler</t>
  </si>
  <si>
    <t>Øvrige utgifter i perioden</t>
  </si>
  <si>
    <t>7310 bolting</t>
  </si>
  <si>
    <t>Veen</t>
  </si>
  <si>
    <t>Foreslått sum. Utviklere ønsker 70% mer. Ytterligere tildeling må drøftes i klatrefeltkomite og styret</t>
  </si>
  <si>
    <t>Felt i Strand</t>
  </si>
  <si>
    <t>Strand KK har valgt å ikke vær med å delfinanisere dette i 2022</t>
  </si>
  <si>
    <t>Øvrige søknader</t>
  </si>
  <si>
    <t>Rom for nye søknader</t>
  </si>
  <si>
    <t>Rebolting</t>
  </si>
  <si>
    <t>De resterende ankerne på Dale</t>
  </si>
  <si>
    <t>6860 Møte, kurs, oppdatering o.l.</t>
  </si>
  <si>
    <t>Styremøter</t>
  </si>
  <si>
    <t>Dugnadsmat</t>
  </si>
  <si>
    <t>Kompetanseheving fast ansatt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</si>
</sst>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quot;kr&quot;"/>
    <numFmt numFmtId="165" formatCode="0.0"/>
  </numFmts>
  <fonts count="29">
    <font>
      <sz val="11.0"/>
      <color rgb="FF000000"/>
      <name val="Calibri"/>
      <scheme val="minor"/>
    </font>
    <font>
      <b/>
      <sz val="15.0"/>
      <color rgb="FF000000"/>
      <name val="Calibri"/>
    </font>
    <font>
      <color theme="1"/>
      <name val="Calibri"/>
      <scheme val="minor"/>
    </font>
    <font>
      <b/>
      <sz val="12.0"/>
      <color rgb="FF000000"/>
      <name val="Calibri"/>
    </font>
    <font>
      <sz val="14.0"/>
      <color theme="1"/>
      <name val="Calibri"/>
      <scheme val="minor"/>
    </font>
    <font>
      <b/>
      <color theme="1"/>
      <name val="Calibri"/>
      <scheme val="minor"/>
    </font>
    <font>
      <sz val="11.0"/>
      <color theme="1"/>
      <name val="Calibri"/>
    </font>
    <font>
      <i/>
      <color theme="1"/>
      <name val="Calibri"/>
    </font>
    <font>
      <sz val="10.0"/>
      <color rgb="FF000000"/>
      <name val="Calibri"/>
    </font>
    <font>
      <sz val="10.0"/>
      <color rgb="FF000000"/>
      <name val="Calibri"/>
      <scheme val="minor"/>
    </font>
    <font>
      <b/>
      <sz val="10.0"/>
      <color rgb="FF000000"/>
      <name val="Calibri"/>
    </font>
    <font>
      <sz val="11.0"/>
      <color rgb="FF000000"/>
      <name val="Calibri"/>
    </font>
    <font>
      <color theme="1"/>
      <name val="Calibri"/>
    </font>
    <font>
      <sz val="11.0"/>
      <color rgb="FF000000"/>
      <name val="Inconsolata"/>
    </font>
    <font>
      <b/>
      <sz val="11.0"/>
      <color rgb="FF000000"/>
      <name val="Calibri"/>
    </font>
    <font>
      <sz val="10.0"/>
      <color theme="1"/>
      <name val="Calibri"/>
    </font>
    <font>
      <i/>
      <sz val="10.0"/>
      <color rgb="FF000000"/>
      <name val="Calibri"/>
    </font>
    <font>
      <b/>
      <i/>
      <sz val="10.0"/>
      <color rgb="FF000000"/>
      <name val="Calibri"/>
    </font>
    <font>
      <b/>
      <sz val="10.0"/>
      <color theme="1"/>
      <name val="Calibri"/>
    </font>
    <font>
      <i/>
      <sz val="10.0"/>
      <color theme="1"/>
      <name val="Calibri"/>
    </font>
    <font>
      <b/>
      <color theme="1"/>
      <name val="Calibri"/>
    </font>
    <font>
      <strike/>
      <sz val="10.0"/>
      <color rgb="FF000000"/>
      <name val="Calibri"/>
    </font>
    <font>
      <strike/>
      <sz val="10.0"/>
      <color theme="1"/>
      <name val="Calibri"/>
    </font>
    <font>
      <b/>
      <sz val="11.0"/>
      <color theme="1"/>
      <name val="Calibri"/>
    </font>
    <font>
      <i/>
      <sz val="11.0"/>
      <color theme="1"/>
      <name val="Calibri"/>
    </font>
    <font>
      <b/>
      <i/>
      <color theme="1"/>
      <name val="Calibri"/>
      <scheme val="minor"/>
    </font>
    <font>
      <i/>
      <sz val="11.0"/>
      <color rgb="FF000000"/>
      <name val="Calibri"/>
    </font>
    <font>
      <color rgb="FF222222"/>
      <name val="Arial"/>
    </font>
    <font>
      <i/>
      <color theme="1"/>
      <name val="Calibri"/>
      <scheme val="minor"/>
    </font>
  </fonts>
  <fills count="5">
    <fill>
      <patternFill patternType="none"/>
    </fill>
    <fill>
      <patternFill patternType="lightGray"/>
    </fill>
    <fill>
      <patternFill patternType="solid">
        <fgColor theme="0"/>
        <bgColor theme="0"/>
      </patternFill>
    </fill>
    <fill>
      <patternFill patternType="solid">
        <fgColor rgb="FFFFFFFF"/>
        <bgColor rgb="FFFFFFFF"/>
      </patternFill>
    </fill>
    <fill>
      <patternFill patternType="solid">
        <fgColor rgb="FFEFEFEF"/>
        <bgColor rgb="FFEFEFEF"/>
      </patternFill>
    </fill>
  </fills>
  <borders count="29">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top style="thin">
        <color rgb="FF000000"/>
      </top>
      <bottom style="thin">
        <color rgb="FF000000"/>
      </bottom>
    </border>
    <border>
      <bottom style="thick">
        <color rgb="FF000000"/>
      </bottom>
    </border>
    <border>
      <bottom style="double">
        <color rgb="FF000000"/>
      </bottom>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bottom style="thick">
        <color rgb="FF000000"/>
      </bottom>
    </border>
    <border>
      <right style="thick">
        <color rgb="FF000000"/>
      </right>
      <bottom style="thick">
        <color rgb="FF000000"/>
      </bottom>
    </border>
    <border>
      <top style="thin">
        <color rgb="FF000000"/>
      </top>
      <bottom style="medium">
        <color rgb="FF000000"/>
      </bottom>
    </border>
    <border>
      <top style="thin">
        <color rgb="FF000000"/>
      </top>
      <bottom style="double">
        <color rgb="FF000000"/>
      </bottom>
    </border>
    <border>
      <left style="double">
        <color rgb="FF000000"/>
      </left>
      <top style="double">
        <color rgb="FF000000"/>
      </top>
    </border>
    <border>
      <right style="double">
        <color rgb="FF000000"/>
      </right>
      <top style="double">
        <color rgb="FF000000"/>
      </top>
    </border>
    <border>
      <left style="double">
        <color rgb="FF000000"/>
      </left>
    </border>
    <border>
      <right style="double">
        <color rgb="FF000000"/>
      </right>
    </border>
    <border>
      <left style="double">
        <color rgb="FF000000"/>
      </left>
      <bottom style="double">
        <color rgb="FF000000"/>
      </bottom>
    </border>
    <border>
      <right style="double">
        <color rgb="FF000000"/>
      </right>
      <bottom style="double">
        <color rgb="FF000000"/>
      </bottom>
    </border>
  </borders>
  <cellStyleXfs count="1">
    <xf borderId="0" fillId="0" fontId="0" numFmtId="0" applyAlignment="1" applyFont="1"/>
  </cellStyleXfs>
  <cellXfs count="209">
    <xf borderId="0" fillId="0" fontId="0" numFmtId="0" xfId="0" applyAlignment="1" applyFont="1">
      <alignment readingOrder="0" shrinkToFit="0" vertical="bottom" wrapText="0"/>
    </xf>
    <xf borderId="0" fillId="0" fontId="1" numFmtId="49" xfId="0" applyAlignment="1" applyFont="1" applyNumberFormat="1">
      <alignment readingOrder="0" vertical="center"/>
    </xf>
    <xf borderId="0" fillId="2" fontId="2" numFmtId="3" xfId="0" applyAlignment="1" applyFill="1" applyFont="1" applyNumberFormat="1">
      <alignment vertical="center"/>
    </xf>
    <xf borderId="0" fillId="0" fontId="2" numFmtId="0" xfId="0" applyAlignment="1" applyFont="1">
      <alignment vertical="center"/>
    </xf>
    <xf borderId="0" fillId="0" fontId="3" numFmtId="49" xfId="0" applyAlignment="1" applyFont="1" applyNumberFormat="1">
      <alignment vertical="center"/>
    </xf>
    <xf borderId="0" fillId="2" fontId="4" numFmtId="3" xfId="0" applyAlignment="1" applyFont="1" applyNumberFormat="1">
      <alignment readingOrder="0" vertical="center"/>
    </xf>
    <xf borderId="1" fillId="0" fontId="5" numFmtId="0" xfId="0" applyAlignment="1" applyBorder="1" applyFont="1">
      <alignment readingOrder="0" vertical="center"/>
    </xf>
    <xf borderId="2" fillId="0" fontId="2" numFmtId="0" xfId="0" applyAlignment="1" applyBorder="1" applyFont="1">
      <alignment vertical="center"/>
    </xf>
    <xf borderId="3" fillId="0" fontId="2" numFmtId="0" xfId="0" applyAlignment="1" applyBorder="1" applyFont="1">
      <alignment vertical="center"/>
    </xf>
    <xf borderId="0" fillId="0" fontId="6" numFmtId="0" xfId="0" applyAlignment="1" applyFont="1">
      <alignment vertical="center"/>
    </xf>
    <xf borderId="4" fillId="0" fontId="2" numFmtId="0" xfId="0" applyAlignment="1" applyBorder="1" applyFont="1">
      <alignment readingOrder="0" vertical="center"/>
    </xf>
    <xf borderId="5" fillId="0" fontId="2" numFmtId="0" xfId="0" applyAlignment="1" applyBorder="1" applyFont="1">
      <alignment vertical="center"/>
    </xf>
    <xf borderId="6" fillId="0" fontId="7" numFmtId="0" xfId="0" applyAlignment="1" applyBorder="1" applyFont="1">
      <alignment vertical="center"/>
    </xf>
    <xf borderId="7" fillId="2" fontId="7" numFmtId="10" xfId="0" applyAlignment="1" applyBorder="1" applyFont="1" applyNumberFormat="1">
      <alignment vertical="center"/>
    </xf>
    <xf borderId="0" fillId="3" fontId="8" numFmtId="0" xfId="0" applyAlignment="1" applyFill="1" applyFont="1">
      <alignment horizontal="left" shrinkToFit="0" vertical="center" wrapText="1"/>
    </xf>
    <xf borderId="8" fillId="3" fontId="9" numFmtId="0" xfId="0" applyAlignment="1" applyBorder="1" applyFont="1">
      <alignment readingOrder="0" vertical="center"/>
    </xf>
    <xf borderId="9" fillId="0" fontId="2" numFmtId="0" xfId="0" applyAlignment="1" applyBorder="1" applyFont="1">
      <alignment vertical="center"/>
    </xf>
    <xf borderId="10" fillId="0" fontId="2" numFmtId="0" xfId="0" applyAlignment="1" applyBorder="1" applyFont="1">
      <alignment vertical="center"/>
    </xf>
    <xf borderId="0" fillId="0" fontId="3" numFmtId="49" xfId="0" applyAlignment="1" applyFont="1" applyNumberFormat="1">
      <alignment shrinkToFit="0" vertical="center" wrapText="1"/>
    </xf>
    <xf borderId="0" fillId="2" fontId="3" numFmtId="3" xfId="0" applyAlignment="1" applyFont="1" applyNumberFormat="1">
      <alignment shrinkToFit="0" vertical="center" wrapText="1"/>
    </xf>
    <xf borderId="0" fillId="2" fontId="10" numFmtId="3" xfId="0" applyAlignment="1" applyFont="1" applyNumberFormat="1">
      <alignment horizontal="right" readingOrder="0" shrinkToFit="0" vertical="center" wrapText="1"/>
    </xf>
    <xf borderId="0" fillId="3" fontId="10" numFmtId="0" xfId="0" applyAlignment="1" applyFont="1">
      <alignment horizontal="right" readingOrder="0" shrinkToFit="0" vertical="center" wrapText="1"/>
    </xf>
    <xf borderId="0" fillId="0" fontId="8" numFmtId="0" xfId="0" applyAlignment="1" applyFont="1">
      <alignment shrinkToFit="0" vertical="center" wrapText="1"/>
    </xf>
    <xf borderId="0" fillId="2" fontId="11" numFmtId="3" xfId="0" applyAlignment="1" applyFont="1" applyNumberFormat="1">
      <alignment shrinkToFit="0" vertical="center" wrapText="1"/>
    </xf>
    <xf borderId="0" fillId="0" fontId="11" numFmtId="0" xfId="0" applyAlignment="1" applyFont="1">
      <alignment shrinkToFit="0" vertical="center" wrapText="1"/>
    </xf>
    <xf borderId="2" fillId="0" fontId="8" numFmtId="0" xfId="0" applyAlignment="1" applyBorder="1" applyFont="1">
      <alignment shrinkToFit="0" vertical="center" wrapText="1"/>
    </xf>
    <xf borderId="2" fillId="2" fontId="11" numFmtId="3" xfId="0" applyAlignment="1" applyBorder="1" applyFont="1" applyNumberFormat="1">
      <alignment shrinkToFit="0" vertical="center" wrapText="1"/>
    </xf>
    <xf borderId="2" fillId="0" fontId="11" numFmtId="3" xfId="0" applyAlignment="1" applyBorder="1" applyFont="1" applyNumberFormat="1">
      <alignment shrinkToFit="0" vertical="center" wrapText="1"/>
    </xf>
    <xf borderId="0" fillId="0" fontId="8" numFmtId="0" xfId="0" applyAlignment="1" applyFont="1">
      <alignment vertical="center"/>
    </xf>
    <xf borderId="0" fillId="0" fontId="8" numFmtId="3" xfId="0" applyAlignment="1" applyFont="1" applyNumberFormat="1">
      <alignment shrinkToFit="0" vertical="center" wrapText="1"/>
    </xf>
    <xf borderId="0" fillId="0" fontId="8" numFmtId="3" xfId="0" applyAlignment="1" applyFont="1" applyNumberFormat="1">
      <alignment readingOrder="0" shrinkToFit="0" vertical="center" wrapText="1"/>
    </xf>
    <xf borderId="0" fillId="0" fontId="2" numFmtId="0" xfId="0" applyAlignment="1" applyFont="1">
      <alignment readingOrder="0" vertical="center"/>
    </xf>
    <xf borderId="0" fillId="0" fontId="8" numFmtId="3" xfId="0" applyAlignment="1" applyFont="1" applyNumberFormat="1">
      <alignment horizontal="right" readingOrder="0" shrinkToFit="0" vertical="center" wrapText="1"/>
    </xf>
    <xf borderId="0" fillId="0" fontId="12" numFmtId="0" xfId="0" applyAlignment="1" applyFont="1">
      <alignment vertical="center"/>
    </xf>
    <xf borderId="0" fillId="0" fontId="8" numFmtId="0" xfId="0" applyAlignment="1" applyFont="1">
      <alignment readingOrder="0" vertical="center"/>
    </xf>
    <xf borderId="0" fillId="0" fontId="12" numFmtId="0" xfId="0" applyAlignment="1" applyFont="1">
      <alignment readingOrder="0" vertical="center"/>
    </xf>
    <xf borderId="0" fillId="2" fontId="8" numFmtId="0" xfId="0" applyAlignment="1" applyFont="1">
      <alignment readingOrder="0" vertical="center"/>
    </xf>
    <xf borderId="11" fillId="0" fontId="8" numFmtId="0" xfId="0" applyAlignment="1" applyBorder="1" applyFont="1">
      <alignment vertical="center"/>
    </xf>
    <xf borderId="11" fillId="0" fontId="10" numFmtId="3" xfId="0" applyAlignment="1" applyBorder="1" applyFont="1" applyNumberFormat="1">
      <alignment shrinkToFit="0" vertical="center" wrapText="1"/>
    </xf>
    <xf borderId="12" fillId="0" fontId="8" numFmtId="0" xfId="0" applyAlignment="1" applyBorder="1" applyFont="1">
      <alignment vertical="center"/>
    </xf>
    <xf borderId="12" fillId="0" fontId="10" numFmtId="3" xfId="0" applyAlignment="1" applyBorder="1" applyFont="1" applyNumberFormat="1">
      <alignment shrinkToFit="0" vertical="center" wrapText="1"/>
    </xf>
    <xf borderId="2" fillId="0" fontId="8" numFmtId="3" xfId="0" applyAlignment="1" applyBorder="1" applyFont="1" applyNumberFormat="1">
      <alignment shrinkToFit="0" vertical="center" wrapText="1"/>
    </xf>
    <xf borderId="0" fillId="0" fontId="6" numFmtId="0" xfId="0" applyAlignment="1" applyFont="1">
      <alignment readingOrder="0" vertical="center"/>
    </xf>
    <xf borderId="0" fillId="3" fontId="13" numFmtId="0" xfId="0" applyAlignment="1" applyFont="1">
      <alignment readingOrder="0" vertical="center"/>
    </xf>
    <xf borderId="12" fillId="0" fontId="10" numFmtId="0" xfId="0" applyAlignment="1" applyBorder="1" applyFont="1">
      <alignment vertical="center"/>
    </xf>
    <xf borderId="0" fillId="0" fontId="10" numFmtId="0" xfId="0" applyAlignment="1" applyFont="1">
      <alignment shrinkToFit="0" vertical="center" wrapText="1"/>
    </xf>
    <xf borderId="0" fillId="0" fontId="10" numFmtId="0" xfId="0" applyAlignment="1" applyFont="1">
      <alignment vertical="center"/>
    </xf>
    <xf borderId="0" fillId="0" fontId="12" numFmtId="0" xfId="0" applyFont="1"/>
    <xf borderId="0" fillId="0" fontId="2" numFmtId="0" xfId="0" applyAlignment="1" applyFont="1">
      <alignment readingOrder="0"/>
    </xf>
    <xf borderId="9" fillId="0" fontId="2" numFmtId="0" xfId="0" applyAlignment="1" applyBorder="1" applyFont="1">
      <alignment readingOrder="0"/>
    </xf>
    <xf borderId="0" fillId="0" fontId="12" numFmtId="164" xfId="0" applyFont="1" applyNumberFormat="1"/>
    <xf borderId="0" fillId="0" fontId="11" numFmtId="49" xfId="0" applyAlignment="1" applyFont="1" applyNumberFormat="1">
      <alignment readingOrder="0"/>
    </xf>
    <xf borderId="0" fillId="0" fontId="14" numFmtId="49" xfId="0" applyFont="1" applyNumberFormat="1"/>
    <xf borderId="0" fillId="0" fontId="6" numFmtId="0" xfId="0" applyFont="1"/>
    <xf borderId="0" fillId="0" fontId="6" numFmtId="0" xfId="0" applyAlignment="1" applyFont="1">
      <alignment readingOrder="0"/>
    </xf>
    <xf borderId="9" fillId="0" fontId="12" numFmtId="0" xfId="0" applyBorder="1" applyFont="1"/>
    <xf borderId="9" fillId="0" fontId="12" numFmtId="0" xfId="0" applyAlignment="1" applyBorder="1" applyFont="1">
      <alignment readingOrder="0"/>
    </xf>
    <xf borderId="13" fillId="0" fontId="14" numFmtId="49" xfId="0" applyBorder="1" applyFont="1" applyNumberFormat="1"/>
    <xf borderId="13" fillId="0" fontId="2" numFmtId="0" xfId="0" applyBorder="1" applyFont="1"/>
    <xf borderId="13" fillId="0" fontId="6" numFmtId="0" xfId="0" applyBorder="1" applyFont="1"/>
    <xf borderId="0" fillId="2" fontId="15" numFmtId="0" xfId="0" applyFont="1"/>
    <xf borderId="0" fillId="2" fontId="16" numFmtId="0" xfId="0" applyFont="1"/>
    <xf borderId="0" fillId="2" fontId="10" numFmtId="0" xfId="0" applyAlignment="1" applyFont="1">
      <alignment readingOrder="0" shrinkToFit="0" wrapText="1"/>
    </xf>
    <xf borderId="0" fillId="2" fontId="10" numFmtId="0" xfId="0" applyAlignment="1" applyFont="1">
      <alignment horizontal="center" shrinkToFit="0" wrapText="1"/>
    </xf>
    <xf borderId="0" fillId="2" fontId="17" numFmtId="0" xfId="0" applyAlignment="1" applyFont="1">
      <alignment horizontal="center" shrinkToFit="0" wrapText="1"/>
    </xf>
    <xf borderId="0" fillId="2" fontId="15" numFmtId="0" xfId="0" applyFont="1"/>
    <xf borderId="0" fillId="2" fontId="8" numFmtId="0" xfId="0" applyAlignment="1" applyFont="1">
      <alignment readingOrder="0" shrinkToFit="0" wrapText="1"/>
    </xf>
    <xf borderId="0" fillId="2" fontId="8" numFmtId="3" xfId="0" applyAlignment="1" applyFont="1" applyNumberFormat="1">
      <alignment horizontal="right" shrinkToFit="0" wrapText="1"/>
    </xf>
    <xf borderId="0" fillId="2" fontId="8" numFmtId="3" xfId="0" applyAlignment="1" applyFont="1" applyNumberFormat="1">
      <alignment horizontal="right" readingOrder="0" shrinkToFit="0" wrapText="1"/>
    </xf>
    <xf borderId="0" fillId="2" fontId="8" numFmtId="3" xfId="0" applyAlignment="1" applyFont="1" applyNumberFormat="1">
      <alignment readingOrder="0" shrinkToFit="0" wrapText="1"/>
    </xf>
    <xf borderId="0" fillId="2" fontId="16" numFmtId="3" xfId="0" applyAlignment="1" applyFont="1" applyNumberFormat="1">
      <alignment horizontal="right" shrinkToFit="0" wrapText="1"/>
    </xf>
    <xf borderId="0" fillId="2" fontId="15" numFmtId="3" xfId="0" applyFont="1" applyNumberFormat="1"/>
    <xf borderId="0" fillId="2" fontId="8" numFmtId="3" xfId="0" applyAlignment="1" applyFont="1" applyNumberFormat="1">
      <alignment shrinkToFit="0" wrapText="1"/>
    </xf>
    <xf borderId="0" fillId="2" fontId="16" numFmtId="3" xfId="0" applyAlignment="1" applyFont="1" applyNumberFormat="1">
      <alignment shrinkToFit="0" wrapText="1"/>
    </xf>
    <xf borderId="1" fillId="2" fontId="18" numFmtId="0" xfId="0" applyAlignment="1" applyBorder="1" applyFont="1">
      <alignment readingOrder="0"/>
    </xf>
    <xf borderId="2" fillId="2" fontId="15" numFmtId="0" xfId="0" applyBorder="1" applyFont="1"/>
    <xf borderId="3" fillId="2" fontId="15" numFmtId="0" xfId="0" applyBorder="1" applyFont="1"/>
    <xf borderId="0" fillId="2" fontId="8" numFmtId="0" xfId="0" applyAlignment="1" applyFont="1">
      <alignment shrinkToFit="0" wrapText="1"/>
    </xf>
    <xf borderId="4" fillId="2" fontId="15" numFmtId="0" xfId="0" applyAlignment="1" applyBorder="1" applyFont="1">
      <alignment readingOrder="0"/>
    </xf>
    <xf borderId="5" fillId="2" fontId="15" numFmtId="0" xfId="0" applyBorder="1" applyFont="1"/>
    <xf borderId="4" fillId="2" fontId="15" numFmtId="0" xfId="0" applyBorder="1" applyFont="1"/>
    <xf borderId="4" fillId="2" fontId="18" numFmtId="0" xfId="0" applyAlignment="1" applyBorder="1" applyFont="1">
      <alignment readingOrder="0"/>
    </xf>
    <xf borderId="0" fillId="2" fontId="15" numFmtId="0" xfId="0" applyAlignment="1" applyFont="1">
      <alignment shrinkToFit="0" vertical="bottom" wrapText="1"/>
    </xf>
    <xf borderId="0" fillId="2" fontId="15" numFmtId="3" xfId="0" applyAlignment="1" applyFont="1" applyNumberFormat="1">
      <alignment vertical="bottom"/>
    </xf>
    <xf borderId="0" fillId="2" fontId="15" numFmtId="3" xfId="0" applyAlignment="1" applyFont="1" applyNumberFormat="1">
      <alignment horizontal="right" readingOrder="0" shrinkToFit="0" vertical="bottom" wrapText="1"/>
    </xf>
    <xf borderId="0" fillId="2" fontId="15" numFmtId="3" xfId="0" applyAlignment="1" applyFont="1" applyNumberFormat="1">
      <alignment horizontal="right" shrinkToFit="0" vertical="bottom" wrapText="1"/>
    </xf>
    <xf borderId="0" fillId="2" fontId="19" numFmtId="3" xfId="0" applyAlignment="1" applyFont="1" applyNumberFormat="1">
      <alignment horizontal="right" shrinkToFit="0" vertical="bottom" wrapText="1"/>
    </xf>
    <xf borderId="0" fillId="2" fontId="15" numFmtId="3" xfId="0" applyAlignment="1" applyFont="1" applyNumberFormat="1">
      <alignment horizontal="right" vertical="bottom"/>
    </xf>
    <xf borderId="0" fillId="2" fontId="15" numFmtId="0" xfId="0" applyAlignment="1" applyFont="1">
      <alignment readingOrder="0"/>
    </xf>
    <xf borderId="0" fillId="2" fontId="8" numFmtId="0" xfId="0" applyAlignment="1" applyFont="1">
      <alignment readingOrder="0"/>
    </xf>
    <xf borderId="0" fillId="2" fontId="15" numFmtId="165" xfId="0" applyFont="1" applyNumberFormat="1"/>
    <xf borderId="9" fillId="2" fontId="8" numFmtId="0" xfId="0" applyAlignment="1" applyBorder="1" applyFont="1">
      <alignment readingOrder="0" shrinkToFit="0" wrapText="1"/>
    </xf>
    <xf borderId="9" fillId="2" fontId="8" numFmtId="0" xfId="0" applyAlignment="1" applyBorder="1" applyFont="1">
      <alignment horizontal="right" shrinkToFit="0" wrapText="1"/>
    </xf>
    <xf borderId="9" fillId="2" fontId="8" numFmtId="0" xfId="0" applyAlignment="1" applyBorder="1" applyFont="1">
      <alignment horizontal="right" readingOrder="0" shrinkToFit="0" wrapText="1"/>
    </xf>
    <xf borderId="9" fillId="2" fontId="16" numFmtId="0" xfId="0" applyAlignment="1" applyBorder="1" applyFont="1">
      <alignment horizontal="right" shrinkToFit="0" wrapText="1"/>
    </xf>
    <xf borderId="9" fillId="2" fontId="15" numFmtId="0" xfId="0" applyBorder="1" applyFont="1"/>
    <xf borderId="9" fillId="2" fontId="15" numFmtId="165" xfId="0" applyBorder="1" applyFont="1" applyNumberFormat="1"/>
    <xf borderId="12" fillId="2" fontId="8" numFmtId="0" xfId="0" applyAlignment="1" applyBorder="1" applyFont="1">
      <alignment readingOrder="0" shrinkToFit="0" wrapText="1"/>
    </xf>
    <xf borderId="12" fillId="2" fontId="8" numFmtId="0" xfId="0" applyAlignment="1" applyBorder="1" applyFont="1">
      <alignment shrinkToFit="0" wrapText="1"/>
    </xf>
    <xf borderId="12" fillId="2" fontId="16" numFmtId="3" xfId="0" applyAlignment="1" applyBorder="1" applyFont="1" applyNumberFormat="1">
      <alignment shrinkToFit="0" wrapText="1"/>
    </xf>
    <xf borderId="12" fillId="2" fontId="8" numFmtId="3" xfId="0" applyAlignment="1" applyBorder="1" applyFont="1" applyNumberFormat="1">
      <alignment shrinkToFit="0" wrapText="1"/>
    </xf>
    <xf borderId="12" fillId="2" fontId="16" numFmtId="3" xfId="0" applyAlignment="1" applyBorder="1" applyFont="1" applyNumberFormat="1">
      <alignment horizontal="right" shrinkToFit="0" wrapText="1"/>
    </xf>
    <xf borderId="12" fillId="2" fontId="8" numFmtId="3" xfId="0" applyAlignment="1" applyBorder="1" applyFont="1" applyNumberFormat="1">
      <alignment horizontal="right" shrinkToFit="0" wrapText="1"/>
    </xf>
    <xf borderId="12" fillId="2" fontId="15" numFmtId="0" xfId="0" applyBorder="1" applyFont="1"/>
    <xf borderId="5" fillId="2" fontId="15" numFmtId="0" xfId="0" applyAlignment="1" applyBorder="1" applyFont="1">
      <alignment readingOrder="0"/>
    </xf>
    <xf borderId="0" fillId="2" fontId="8" numFmtId="0" xfId="0" applyAlignment="1" applyFont="1">
      <alignment horizontal="right" shrinkToFit="0" wrapText="1"/>
    </xf>
    <xf borderId="0" fillId="2" fontId="16" numFmtId="0" xfId="0" applyAlignment="1" applyFont="1">
      <alignment horizontal="right" shrinkToFit="0" wrapText="1"/>
    </xf>
    <xf borderId="0" fillId="0" fontId="20" numFmtId="0" xfId="0" applyAlignment="1" applyFont="1">
      <alignment readingOrder="0"/>
    </xf>
    <xf borderId="0" fillId="2" fontId="8" numFmtId="0" xfId="0" applyAlignment="1" applyFont="1">
      <alignment horizontal="right" readingOrder="0" shrinkToFit="0" wrapText="1"/>
    </xf>
    <xf borderId="0" fillId="2" fontId="16" numFmtId="0" xfId="0" applyAlignment="1" applyFont="1">
      <alignment shrinkToFit="0" wrapText="1"/>
    </xf>
    <xf borderId="0" fillId="2" fontId="21" numFmtId="0" xfId="0" applyAlignment="1" applyFont="1">
      <alignment readingOrder="0"/>
    </xf>
    <xf borderId="14" fillId="0" fontId="20" numFmtId="0" xfId="0" applyAlignment="1" applyBorder="1" applyFont="1">
      <alignment readingOrder="0"/>
    </xf>
    <xf borderId="15" fillId="2" fontId="8" numFmtId="0" xfId="0" applyAlignment="1" applyBorder="1" applyFont="1">
      <alignment shrinkToFit="0" wrapText="1"/>
    </xf>
    <xf borderId="16" fillId="2" fontId="8" numFmtId="0" xfId="0" applyAlignment="1" applyBorder="1" applyFont="1">
      <alignment shrinkToFit="0" wrapText="1"/>
    </xf>
    <xf borderId="17" fillId="2" fontId="8" numFmtId="0" xfId="0" applyAlignment="1" applyBorder="1" applyFont="1">
      <alignment shrinkToFit="0" wrapText="1"/>
    </xf>
    <xf borderId="18" fillId="2" fontId="8" numFmtId="0" xfId="0" applyAlignment="1" applyBorder="1" applyFont="1">
      <alignment shrinkToFit="0" wrapText="1"/>
    </xf>
    <xf borderId="0" fillId="2" fontId="19" numFmtId="0" xfId="0" applyAlignment="1" applyFont="1">
      <alignment readingOrder="0" shrinkToFit="0" wrapText="1"/>
    </xf>
    <xf borderId="8" fillId="2" fontId="15" numFmtId="0" xfId="0" applyAlignment="1" applyBorder="1" applyFont="1">
      <alignment readingOrder="0"/>
    </xf>
    <xf borderId="9" fillId="2" fontId="15" numFmtId="0" xfId="0" applyBorder="1" applyFont="1"/>
    <xf borderId="10" fillId="2" fontId="15" numFmtId="0" xfId="0" applyBorder="1" applyFont="1"/>
    <xf borderId="17" fillId="2" fontId="10" numFmtId="0" xfId="0" applyAlignment="1" applyBorder="1" applyFont="1">
      <alignment vertical="center"/>
    </xf>
    <xf borderId="0" fillId="2" fontId="19" numFmtId="0" xfId="0" applyAlignment="1" applyFont="1">
      <alignment shrinkToFit="0" wrapText="1"/>
    </xf>
    <xf borderId="17" fillId="2" fontId="18" numFmtId="0" xfId="0" applyAlignment="1" applyBorder="1" applyFont="1">
      <alignment readingOrder="0"/>
    </xf>
    <xf borderId="0" fillId="2" fontId="19" numFmtId="0" xfId="0" applyAlignment="1" applyFont="1">
      <alignment readingOrder="0"/>
    </xf>
    <xf borderId="0" fillId="2" fontId="21" numFmtId="0" xfId="0" applyAlignment="1" applyFont="1">
      <alignment readingOrder="0" shrinkToFit="0" wrapText="1"/>
    </xf>
    <xf borderId="17" fillId="2" fontId="15" numFmtId="0" xfId="0" applyAlignment="1" applyBorder="1" applyFont="1">
      <alignment readingOrder="0"/>
    </xf>
    <xf borderId="0" fillId="2" fontId="22" numFmtId="0" xfId="0" applyAlignment="1" applyFont="1">
      <alignment readingOrder="0"/>
    </xf>
    <xf borderId="15" fillId="2" fontId="10" numFmtId="0" xfId="0" applyAlignment="1" applyBorder="1" applyFont="1">
      <alignment shrinkToFit="0" wrapText="1"/>
    </xf>
    <xf borderId="15" fillId="2" fontId="10" numFmtId="0" xfId="0" applyAlignment="1" applyBorder="1" applyFont="1">
      <alignment horizontal="right" shrinkToFit="0" wrapText="1"/>
    </xf>
    <xf borderId="18" fillId="2" fontId="15" numFmtId="0" xfId="0" applyBorder="1" applyFont="1"/>
    <xf borderId="17" fillId="2" fontId="15" numFmtId="0" xfId="0" applyBorder="1" applyFont="1"/>
    <xf borderId="0" fillId="2" fontId="18" numFmtId="0" xfId="0" applyFont="1"/>
    <xf borderId="19" fillId="2" fontId="15" numFmtId="0" xfId="0" applyAlignment="1" applyBorder="1" applyFont="1">
      <alignment readingOrder="0"/>
    </xf>
    <xf borderId="12" fillId="2" fontId="15" numFmtId="0" xfId="0" applyBorder="1" applyFont="1"/>
    <xf borderId="20" fillId="2" fontId="15" numFmtId="0" xfId="0" applyBorder="1" applyFont="1"/>
    <xf borderId="9" fillId="0" fontId="23" numFmtId="0" xfId="0" applyBorder="1" applyFont="1"/>
    <xf borderId="9" fillId="0" fontId="6" numFmtId="0" xfId="0" applyBorder="1" applyFont="1"/>
    <xf borderId="0" fillId="0" fontId="24" numFmtId="0" xfId="0" applyAlignment="1" applyFont="1">
      <alignment shrinkToFit="0" wrapText="1"/>
    </xf>
    <xf borderId="0" fillId="0" fontId="6" numFmtId="1" xfId="0" applyFont="1" applyNumberFormat="1"/>
    <xf borderId="9" fillId="0" fontId="6" numFmtId="0" xfId="0" applyAlignment="1" applyBorder="1" applyFont="1">
      <alignment readingOrder="0" vertical="bottom"/>
    </xf>
    <xf borderId="9" fillId="0" fontId="6" numFmtId="0" xfId="0" applyAlignment="1" applyBorder="1" applyFont="1">
      <alignment vertical="bottom"/>
    </xf>
    <xf borderId="0" fillId="3" fontId="13" numFmtId="0" xfId="0" applyFont="1"/>
    <xf borderId="8" fillId="0" fontId="24" numFmtId="0" xfId="0" applyAlignment="1" applyBorder="1" applyFont="1">
      <alignment shrinkToFit="0" vertical="bottom" wrapText="1"/>
    </xf>
    <xf borderId="9" fillId="0" fontId="24" numFmtId="0" xfId="0" applyAlignment="1" applyBorder="1" applyFont="1">
      <alignment readingOrder="0" vertical="bottom"/>
    </xf>
    <xf borderId="5" fillId="0" fontId="6" numFmtId="0" xfId="0" applyAlignment="1" applyBorder="1" applyFont="1">
      <alignment readingOrder="0" vertical="bottom"/>
    </xf>
    <xf borderId="4" fillId="0" fontId="6" numFmtId="0" xfId="0" applyAlignment="1" applyBorder="1" applyFont="1">
      <alignment readingOrder="0" vertical="bottom"/>
    </xf>
    <xf borderId="0" fillId="0" fontId="6" numFmtId="0" xfId="0" applyAlignment="1" applyFont="1">
      <alignment readingOrder="0" shrinkToFit="0" vertical="bottom" wrapText="0"/>
    </xf>
    <xf borderId="3" fillId="0" fontId="6" numFmtId="0" xfId="0" applyAlignment="1" applyBorder="1" applyFont="1">
      <alignment vertical="bottom"/>
    </xf>
    <xf borderId="0" fillId="0" fontId="11" numFmtId="0" xfId="0" applyFont="1"/>
    <xf borderId="0" fillId="0" fontId="11" numFmtId="0" xfId="0" applyAlignment="1" applyFont="1">
      <alignment readingOrder="0"/>
    </xf>
    <xf borderId="0" fillId="0" fontId="11" numFmtId="1" xfId="0" applyFont="1" applyNumberFormat="1"/>
    <xf borderId="4" fillId="0" fontId="6" numFmtId="0" xfId="0" applyAlignment="1" applyBorder="1" applyFont="1">
      <alignment vertical="bottom"/>
    </xf>
    <xf borderId="0" fillId="0" fontId="6" numFmtId="0" xfId="0" applyAlignment="1" applyFont="1">
      <alignment horizontal="right" readingOrder="0" vertical="bottom"/>
    </xf>
    <xf borderId="5" fillId="4" fontId="6" numFmtId="0" xfId="0" applyAlignment="1" applyBorder="1" applyFill="1" applyFont="1">
      <alignment readingOrder="0" vertical="bottom"/>
    </xf>
    <xf borderId="0" fillId="4" fontId="2" numFmtId="0" xfId="0" applyAlignment="1" applyFont="1">
      <alignment readingOrder="0"/>
    </xf>
    <xf borderId="0" fillId="4" fontId="2" numFmtId="0" xfId="0" applyFont="1"/>
    <xf borderId="0" fillId="0" fontId="6" numFmtId="0" xfId="0" applyAlignment="1" applyFont="1">
      <alignment horizontal="right" vertical="bottom"/>
    </xf>
    <xf borderId="21" fillId="0" fontId="11" numFmtId="0" xfId="0" applyBorder="1" applyFont="1"/>
    <xf borderId="21" fillId="0" fontId="11" numFmtId="1" xfId="0" applyBorder="1" applyFont="1" applyNumberFormat="1"/>
    <xf borderId="8" fillId="0" fontId="6" numFmtId="0" xfId="0" applyAlignment="1" applyBorder="1" applyFont="1">
      <alignment vertical="bottom"/>
    </xf>
    <xf borderId="9" fillId="0" fontId="6" numFmtId="0" xfId="0" applyAlignment="1" applyBorder="1" applyFont="1">
      <alignment readingOrder="0" shrinkToFit="0" vertical="bottom" wrapText="0"/>
    </xf>
    <xf borderId="10" fillId="0" fontId="6" numFmtId="0" xfId="0" applyAlignment="1" applyBorder="1" applyFont="1">
      <alignment readingOrder="0" vertical="bottom"/>
    </xf>
    <xf borderId="0" fillId="0" fontId="6" numFmtId="0" xfId="0" applyAlignment="1" applyFont="1">
      <alignment vertical="bottom"/>
    </xf>
    <xf borderId="0" fillId="0" fontId="6" numFmtId="0" xfId="0" applyAlignment="1" applyFont="1">
      <alignment shrinkToFit="0" vertical="bottom" wrapText="0"/>
    </xf>
    <xf borderId="6" fillId="0" fontId="24" numFmtId="0" xfId="0" applyAlignment="1" applyBorder="1" applyFont="1">
      <alignment shrinkToFit="0" vertical="bottom" wrapText="1"/>
    </xf>
    <xf borderId="2" fillId="0" fontId="2" numFmtId="0" xfId="0" applyAlignment="1" applyBorder="1" applyFont="1">
      <alignment readingOrder="0"/>
    </xf>
    <xf borderId="3" fillId="0" fontId="2" numFmtId="0" xfId="0" applyBorder="1" applyFont="1"/>
    <xf borderId="0" fillId="0" fontId="24" numFmtId="0" xfId="0" applyAlignment="1" applyFont="1">
      <alignment readingOrder="0"/>
    </xf>
    <xf borderId="3" fillId="0" fontId="2" numFmtId="0" xfId="0" applyAlignment="1" applyBorder="1" applyFont="1">
      <alignment readingOrder="0"/>
    </xf>
    <xf borderId="0" fillId="0" fontId="24" numFmtId="0" xfId="0" applyFont="1"/>
    <xf borderId="5" fillId="0" fontId="2" numFmtId="0" xfId="0" applyBorder="1" applyFont="1"/>
    <xf borderId="4" fillId="0" fontId="2" numFmtId="0" xfId="0" applyAlignment="1" applyBorder="1" applyFont="1">
      <alignment readingOrder="0"/>
    </xf>
    <xf borderId="10" fillId="0" fontId="2" numFmtId="0" xfId="0" applyBorder="1" applyFont="1"/>
    <xf borderId="0" fillId="0" fontId="23" numFmtId="0" xfId="0" applyFont="1"/>
    <xf borderId="0" fillId="0" fontId="5" numFmtId="0" xfId="0" applyAlignment="1" applyFont="1">
      <alignment readingOrder="0"/>
    </xf>
    <xf borderId="9" fillId="0" fontId="2" numFmtId="0" xfId="0" applyBorder="1" applyFont="1"/>
    <xf borderId="13" fillId="0" fontId="2" numFmtId="0" xfId="0" applyAlignment="1" applyBorder="1" applyFont="1">
      <alignment readingOrder="0"/>
    </xf>
    <xf borderId="0" fillId="3" fontId="0" numFmtId="0" xfId="0" applyAlignment="1" applyFont="1">
      <alignment readingOrder="0"/>
    </xf>
    <xf borderId="9" fillId="0" fontId="25" numFmtId="0" xfId="0" applyAlignment="1" applyBorder="1" applyFont="1">
      <alignment readingOrder="0"/>
    </xf>
    <xf borderId="0" fillId="0" fontId="12" numFmtId="0" xfId="0" applyAlignment="1" applyFont="1">
      <alignment readingOrder="0"/>
    </xf>
    <xf borderId="0" fillId="0" fontId="2" numFmtId="0" xfId="0" applyFont="1"/>
    <xf borderId="0" fillId="0" fontId="26" numFmtId="0" xfId="0" applyFont="1"/>
    <xf borderId="22" fillId="0" fontId="11" numFmtId="0" xfId="0" applyBorder="1" applyFont="1"/>
    <xf borderId="0" fillId="0" fontId="20" numFmtId="0" xfId="0" applyFont="1"/>
    <xf borderId="0" fillId="3" fontId="27" numFmtId="0" xfId="0" applyFont="1"/>
    <xf borderId="15" fillId="0" fontId="23" numFmtId="0" xfId="0" applyBorder="1" applyFont="1"/>
    <xf borderId="15" fillId="0" fontId="2" numFmtId="0" xfId="0" applyBorder="1" applyFont="1"/>
    <xf borderId="15" fillId="0" fontId="2" numFmtId="0" xfId="0" applyAlignment="1" applyBorder="1" applyFont="1">
      <alignment readingOrder="0"/>
    </xf>
    <xf borderId="9" fillId="0" fontId="26" numFmtId="0" xfId="0" applyBorder="1" applyFont="1"/>
    <xf borderId="9" fillId="0" fontId="6" numFmtId="0" xfId="0" applyAlignment="1" applyBorder="1" applyFont="1">
      <alignment readingOrder="0"/>
    </xf>
    <xf borderId="15" fillId="0" fontId="5" numFmtId="0" xfId="0" applyBorder="1" applyFont="1"/>
    <xf borderId="0" fillId="0" fontId="26" numFmtId="0" xfId="0" applyAlignment="1" applyFont="1">
      <alignment readingOrder="0"/>
    </xf>
    <xf borderId="0" fillId="0" fontId="23" numFmtId="0" xfId="0" applyAlignment="1" applyFont="1">
      <alignment readingOrder="0"/>
    </xf>
    <xf borderId="2" fillId="0" fontId="6" numFmtId="0" xfId="0" applyBorder="1" applyFont="1"/>
    <xf borderId="2" fillId="0" fontId="12" numFmtId="0" xfId="0" applyBorder="1" applyFont="1"/>
    <xf borderId="6" fillId="0" fontId="2" numFmtId="0" xfId="0" applyAlignment="1" applyBorder="1" applyFont="1">
      <alignment readingOrder="0"/>
    </xf>
    <xf borderId="2" fillId="0" fontId="2" numFmtId="0" xfId="0" applyBorder="1" applyFont="1"/>
    <xf borderId="4" fillId="0" fontId="6" numFmtId="0" xfId="0" applyAlignment="1" applyBorder="1" applyFont="1">
      <alignment readingOrder="0"/>
    </xf>
    <xf borderId="0" fillId="0" fontId="5" numFmtId="0" xfId="0" applyFont="1"/>
    <xf borderId="4" fillId="0" fontId="2" numFmtId="0" xfId="0" applyBorder="1" applyFont="1"/>
    <xf borderId="8" fillId="0" fontId="2" numFmtId="0" xfId="0" applyAlignment="1" applyBorder="1" applyFont="1">
      <alignment readingOrder="0"/>
    </xf>
    <xf borderId="23" fillId="3" fontId="13" numFmtId="0" xfId="0" applyAlignment="1" applyBorder="1" applyFont="1">
      <alignment readingOrder="0"/>
    </xf>
    <xf borderId="24" fillId="0" fontId="12" numFmtId="0" xfId="0" applyBorder="1" applyFont="1"/>
    <xf borderId="25" fillId="0" fontId="12" numFmtId="0" xfId="0" applyBorder="1" applyFont="1"/>
    <xf borderId="26" fillId="0" fontId="12" numFmtId="0" xfId="0" applyBorder="1" applyFont="1"/>
    <xf borderId="26" fillId="0" fontId="12" numFmtId="0" xfId="0" applyAlignment="1" applyBorder="1" applyFont="1">
      <alignment readingOrder="0"/>
    </xf>
    <xf borderId="27" fillId="0" fontId="20" numFmtId="0" xfId="0" applyAlignment="1" applyBorder="1" applyFont="1">
      <alignment readingOrder="0" shrinkToFit="0" wrapText="1"/>
    </xf>
    <xf borderId="28" fillId="0" fontId="20" numFmtId="0" xfId="0" applyAlignment="1" applyBorder="1" applyFont="1">
      <alignment readingOrder="0"/>
    </xf>
    <xf borderId="0" fillId="0" fontId="28" numFmtId="0" xfId="0" applyAlignment="1" applyFont="1">
      <alignment readingOrder="0"/>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58.0"/>
    <col customWidth="1" min="2" max="2" width="24.57"/>
    <col customWidth="1" min="3" max="3" width="14.43"/>
    <col customWidth="1" min="4" max="4" width="12.86"/>
    <col customWidth="1" min="5" max="6" width="9.0"/>
  </cols>
  <sheetData>
    <row r="1" ht="15.75" customHeight="1">
      <c r="A1" s="1" t="s">
        <v>0</v>
      </c>
      <c r="B1" s="2"/>
      <c r="C1" s="3"/>
      <c r="D1" s="3"/>
      <c r="E1" s="3"/>
      <c r="F1" s="3"/>
      <c r="G1" s="3"/>
      <c r="H1" s="3"/>
      <c r="I1" s="3"/>
      <c r="J1" s="3"/>
      <c r="K1" s="3"/>
      <c r="L1" s="3"/>
      <c r="M1" s="3"/>
      <c r="N1" s="3"/>
      <c r="O1" s="3"/>
      <c r="P1" s="3"/>
      <c r="Q1" s="3"/>
      <c r="R1" s="3"/>
      <c r="S1" s="3"/>
      <c r="T1" s="3"/>
      <c r="U1" s="3"/>
      <c r="V1" s="3"/>
      <c r="W1" s="3"/>
      <c r="X1" s="3"/>
      <c r="Y1" s="3"/>
      <c r="Z1" s="3"/>
    </row>
    <row r="2" ht="15.75" customHeight="1">
      <c r="A2" s="3"/>
      <c r="B2" s="2"/>
      <c r="C2" s="3"/>
      <c r="D2" s="3"/>
      <c r="E2" s="3"/>
      <c r="F2" s="3"/>
      <c r="G2" s="3"/>
      <c r="H2" s="3"/>
      <c r="I2" s="3"/>
      <c r="J2" s="3"/>
      <c r="K2" s="3"/>
      <c r="L2" s="3"/>
      <c r="M2" s="3"/>
      <c r="N2" s="3"/>
      <c r="O2" s="3"/>
      <c r="P2" s="3"/>
      <c r="Q2" s="3"/>
      <c r="R2" s="3"/>
      <c r="S2" s="3"/>
      <c r="T2" s="3"/>
      <c r="U2" s="3"/>
      <c r="V2" s="3"/>
      <c r="W2" s="3"/>
      <c r="X2" s="3"/>
      <c r="Y2" s="3"/>
      <c r="Z2" s="3"/>
    </row>
    <row r="3" ht="15.75" customHeight="1">
      <c r="A3" s="4" t="s">
        <v>1</v>
      </c>
      <c r="B3" s="5"/>
      <c r="C3" s="3"/>
      <c r="D3" s="3"/>
      <c r="E3" s="3"/>
      <c r="F3" s="3"/>
      <c r="G3" s="3"/>
      <c r="H3" s="3"/>
      <c r="I3" s="3"/>
      <c r="J3" s="3"/>
      <c r="K3" s="3"/>
      <c r="L3" s="3"/>
      <c r="M3" s="3"/>
      <c r="N3" s="3"/>
      <c r="O3" s="3"/>
      <c r="P3" s="3"/>
      <c r="Q3" s="3"/>
      <c r="R3" s="3"/>
      <c r="S3" s="3"/>
      <c r="T3" s="3"/>
      <c r="U3" s="3"/>
      <c r="V3" s="3"/>
      <c r="W3" s="3"/>
      <c r="X3" s="3"/>
      <c r="Y3" s="3"/>
      <c r="Z3" s="3"/>
    </row>
    <row r="4" ht="15.75" customHeight="1">
      <c r="A4" s="3"/>
      <c r="B4" s="2"/>
      <c r="C4" s="3"/>
      <c r="D4" s="3"/>
      <c r="E4" s="3"/>
      <c r="F4" s="3"/>
      <c r="G4" s="3"/>
      <c r="H4" s="6" t="s">
        <v>2</v>
      </c>
      <c r="I4" s="7"/>
      <c r="J4" s="7"/>
      <c r="K4" s="7"/>
      <c r="L4" s="7"/>
      <c r="M4" s="7"/>
      <c r="N4" s="7"/>
      <c r="O4" s="7"/>
      <c r="P4" s="8"/>
      <c r="Q4" s="3"/>
      <c r="R4" s="3"/>
      <c r="S4" s="3"/>
      <c r="T4" s="3"/>
      <c r="U4" s="3"/>
      <c r="V4" s="3"/>
      <c r="W4" s="3"/>
      <c r="X4" s="3"/>
      <c r="Y4" s="3"/>
      <c r="Z4" s="3"/>
    </row>
    <row r="5" ht="15.75" customHeight="1">
      <c r="A5" s="9" t="s">
        <v>3</v>
      </c>
      <c r="B5" s="2"/>
      <c r="C5" s="3"/>
      <c r="D5" s="3"/>
      <c r="E5" s="3"/>
      <c r="F5" s="3"/>
      <c r="G5" s="3"/>
      <c r="H5" s="10" t="s">
        <v>4</v>
      </c>
      <c r="I5" s="3"/>
      <c r="J5" s="3"/>
      <c r="K5" s="3"/>
      <c r="L5" s="3"/>
      <c r="M5" s="3"/>
      <c r="N5" s="3"/>
      <c r="O5" s="3"/>
      <c r="P5" s="11"/>
      <c r="Q5" s="3"/>
      <c r="R5" s="3"/>
      <c r="S5" s="3"/>
      <c r="T5" s="3"/>
      <c r="U5" s="3"/>
      <c r="V5" s="3"/>
      <c r="W5" s="3"/>
      <c r="X5" s="3"/>
      <c r="Y5" s="3"/>
      <c r="Z5" s="3"/>
    </row>
    <row r="6" ht="15.75" customHeight="1">
      <c r="A6" s="12" t="s">
        <v>5</v>
      </c>
      <c r="B6" s="13">
        <v>0.12</v>
      </c>
      <c r="C6" s="3"/>
      <c r="D6" s="3"/>
      <c r="E6" s="3"/>
      <c r="F6" s="3"/>
      <c r="G6" s="3"/>
      <c r="H6" s="10" t="s">
        <v>6</v>
      </c>
      <c r="I6" s="3"/>
      <c r="J6" s="3"/>
      <c r="K6" s="3"/>
      <c r="L6" s="3"/>
      <c r="M6" s="3"/>
      <c r="N6" s="3"/>
      <c r="O6" s="3"/>
      <c r="P6" s="11"/>
      <c r="Q6" s="3"/>
      <c r="R6" s="3"/>
      <c r="S6" s="3"/>
      <c r="T6" s="3"/>
      <c r="U6" s="3"/>
      <c r="V6" s="3"/>
      <c r="W6" s="3"/>
      <c r="X6" s="3"/>
      <c r="Y6" s="3"/>
      <c r="Z6" s="3"/>
    </row>
    <row r="7" ht="15.75" customHeight="1">
      <c r="A7" s="3"/>
      <c r="B7" s="2"/>
      <c r="C7" s="3"/>
      <c r="D7" s="3"/>
      <c r="E7" s="3"/>
      <c r="F7" s="3"/>
      <c r="G7" s="3"/>
      <c r="H7" s="10" t="s">
        <v>7</v>
      </c>
      <c r="I7" s="3"/>
      <c r="J7" s="3"/>
      <c r="K7" s="3"/>
      <c r="L7" s="3"/>
      <c r="M7" s="3"/>
      <c r="N7" s="3"/>
      <c r="O7" s="3"/>
      <c r="P7" s="11"/>
      <c r="Q7" s="3"/>
      <c r="R7" s="3"/>
      <c r="S7" s="3"/>
      <c r="T7" s="3"/>
      <c r="U7" s="3"/>
      <c r="V7" s="3"/>
      <c r="W7" s="3"/>
      <c r="X7" s="3"/>
      <c r="Y7" s="3"/>
      <c r="Z7" s="3"/>
    </row>
    <row r="8" ht="14.25" customHeight="1">
      <c r="A8" s="14"/>
      <c r="C8" s="14"/>
      <c r="D8" s="14"/>
      <c r="E8" s="3"/>
      <c r="F8" s="3"/>
      <c r="G8" s="3"/>
      <c r="H8" s="10" t="s">
        <v>8</v>
      </c>
      <c r="I8" s="3"/>
      <c r="J8" s="3"/>
      <c r="K8" s="3"/>
      <c r="L8" s="3"/>
      <c r="M8" s="3"/>
      <c r="N8" s="3"/>
      <c r="O8" s="3"/>
      <c r="P8" s="11"/>
      <c r="Q8" s="3"/>
      <c r="R8" s="3"/>
      <c r="S8" s="3"/>
      <c r="T8" s="3"/>
      <c r="U8" s="3"/>
      <c r="V8" s="3"/>
      <c r="W8" s="3"/>
      <c r="X8" s="3"/>
      <c r="Y8" s="3"/>
      <c r="Z8" s="3"/>
    </row>
    <row r="9" ht="15.75" customHeight="1">
      <c r="A9" s="14"/>
      <c r="E9" s="3"/>
      <c r="F9" s="3"/>
      <c r="G9" s="3"/>
      <c r="H9" s="15" t="s">
        <v>9</v>
      </c>
      <c r="I9" s="16"/>
      <c r="J9" s="16"/>
      <c r="K9" s="16"/>
      <c r="L9" s="16"/>
      <c r="M9" s="16"/>
      <c r="N9" s="16"/>
      <c r="O9" s="16"/>
      <c r="P9" s="17"/>
      <c r="Q9" s="3"/>
      <c r="R9" s="3"/>
      <c r="S9" s="3"/>
      <c r="T9" s="3"/>
      <c r="U9" s="3"/>
      <c r="V9" s="3"/>
      <c r="W9" s="3"/>
      <c r="X9" s="3"/>
      <c r="Y9" s="3"/>
      <c r="Z9" s="3"/>
    </row>
    <row r="10" ht="15.75" customHeight="1">
      <c r="A10" s="18"/>
      <c r="B10" s="19"/>
      <c r="C10" s="18"/>
      <c r="D10" s="18"/>
      <c r="E10" s="3"/>
      <c r="F10" s="3"/>
      <c r="G10" s="3"/>
      <c r="H10" s="3"/>
      <c r="I10" s="3"/>
      <c r="J10" s="3"/>
      <c r="K10" s="3"/>
      <c r="L10" s="3"/>
      <c r="M10" s="3"/>
      <c r="N10" s="3"/>
      <c r="O10" s="3"/>
      <c r="P10" s="3"/>
      <c r="Q10" s="3"/>
      <c r="R10" s="3"/>
      <c r="S10" s="3"/>
      <c r="T10" s="3"/>
      <c r="U10" s="3"/>
      <c r="V10" s="3"/>
      <c r="W10" s="3"/>
      <c r="X10" s="3"/>
      <c r="Y10" s="3"/>
      <c r="Z10" s="3"/>
    </row>
    <row r="11" ht="15.75" customHeight="1">
      <c r="A11" s="18"/>
      <c r="B11" s="20" t="s">
        <v>0</v>
      </c>
      <c r="C11" s="21" t="s">
        <v>10</v>
      </c>
      <c r="D11" s="21" t="s">
        <v>11</v>
      </c>
      <c r="E11" s="3"/>
      <c r="F11" s="3"/>
      <c r="G11" s="3"/>
      <c r="H11" s="3"/>
      <c r="I11" s="3"/>
      <c r="J11" s="3"/>
      <c r="K11" s="3"/>
      <c r="L11" s="3"/>
      <c r="M11" s="3"/>
      <c r="N11" s="3"/>
      <c r="O11" s="3"/>
      <c r="P11" s="3"/>
      <c r="Q11" s="3"/>
      <c r="R11" s="3"/>
      <c r="S11" s="3"/>
      <c r="T11" s="3"/>
      <c r="U11" s="3"/>
      <c r="V11" s="3"/>
      <c r="W11" s="3"/>
      <c r="X11" s="3"/>
      <c r="Y11" s="3"/>
      <c r="Z11" s="3"/>
    </row>
    <row r="12" ht="15.75" customHeight="1">
      <c r="A12" s="22" t="s">
        <v>12</v>
      </c>
      <c r="B12" s="23"/>
      <c r="C12" s="24"/>
      <c r="D12" s="24"/>
      <c r="E12" s="3"/>
      <c r="F12" s="3"/>
      <c r="G12" s="3"/>
      <c r="H12" s="3"/>
      <c r="I12" s="3"/>
      <c r="J12" s="3"/>
      <c r="K12" s="3"/>
      <c r="L12" s="3"/>
      <c r="M12" s="3"/>
      <c r="N12" s="3"/>
      <c r="O12" s="3"/>
      <c r="P12" s="3"/>
      <c r="Q12" s="3"/>
      <c r="R12" s="3"/>
      <c r="S12" s="3"/>
      <c r="T12" s="3"/>
      <c r="U12" s="3"/>
      <c r="V12" s="3"/>
      <c r="W12" s="3"/>
      <c r="X12" s="3"/>
      <c r="Y12" s="3"/>
      <c r="Z12" s="3"/>
    </row>
    <row r="13" ht="15.75" customHeight="1">
      <c r="A13" s="25" t="s">
        <v>13</v>
      </c>
      <c r="B13" s="26"/>
      <c r="C13" s="27"/>
      <c r="D13" s="27"/>
      <c r="E13" s="3"/>
      <c r="F13" s="3"/>
      <c r="G13" s="3"/>
      <c r="H13" s="3"/>
      <c r="I13" s="3"/>
      <c r="J13" s="3"/>
      <c r="K13" s="3"/>
      <c r="L13" s="3"/>
      <c r="M13" s="3"/>
      <c r="N13" s="3"/>
      <c r="O13" s="3"/>
      <c r="P13" s="3"/>
      <c r="Q13" s="3"/>
      <c r="R13" s="3"/>
      <c r="S13" s="3"/>
      <c r="T13" s="3"/>
      <c r="U13" s="3"/>
      <c r="V13" s="3"/>
      <c r="W13" s="3"/>
      <c r="X13" s="3"/>
      <c r="Y13" s="3"/>
      <c r="Z13" s="3"/>
    </row>
    <row r="14" ht="15.75" customHeight="1">
      <c r="A14" s="28" t="s">
        <v>14</v>
      </c>
      <c r="B14" s="29">
        <f>Treningsbudsjett!J13</f>
        <v>264600</v>
      </c>
      <c r="C14" s="30">
        <v>307028.0</v>
      </c>
      <c r="D14" s="30">
        <v>359800.0</v>
      </c>
      <c r="E14" s="31"/>
      <c r="F14" s="3"/>
      <c r="G14" s="3"/>
      <c r="H14" s="3"/>
      <c r="I14" s="3"/>
      <c r="J14" s="3"/>
      <c r="K14" s="3"/>
      <c r="L14" s="31"/>
      <c r="M14" s="3"/>
      <c r="N14" s="3"/>
      <c r="O14" s="3"/>
      <c r="P14" s="3"/>
      <c r="Q14" s="3"/>
      <c r="R14" s="3"/>
      <c r="S14" s="3"/>
      <c r="T14" s="3"/>
      <c r="U14" s="3"/>
      <c r="V14" s="3"/>
      <c r="W14" s="3"/>
      <c r="X14" s="3"/>
      <c r="Y14" s="3"/>
      <c r="Z14" s="3"/>
    </row>
    <row r="15" ht="15.75" customHeight="1">
      <c r="A15" s="28" t="s">
        <v>15</v>
      </c>
      <c r="B15" s="29">
        <f>Medlemskontigent!D9</f>
        <v>268675</v>
      </c>
      <c r="C15" s="30">
        <v>283550.0</v>
      </c>
      <c r="D15" s="30">
        <v>237844.8</v>
      </c>
      <c r="E15" s="3"/>
      <c r="F15" s="3"/>
      <c r="G15" s="3"/>
      <c r="H15" s="3"/>
      <c r="I15" s="3"/>
      <c r="J15" s="3"/>
      <c r="K15" s="3"/>
      <c r="L15" s="31"/>
      <c r="M15" s="3"/>
      <c r="N15" s="3"/>
      <c r="O15" s="3"/>
      <c r="P15" s="3"/>
      <c r="Q15" s="3"/>
      <c r="R15" s="3"/>
      <c r="S15" s="3"/>
      <c r="T15" s="3"/>
      <c r="U15" s="3"/>
      <c r="V15" s="3"/>
      <c r="W15" s="3"/>
      <c r="X15" s="3"/>
      <c r="Y15" s="3"/>
      <c r="Z15" s="3"/>
    </row>
    <row r="16" ht="15.75" customHeight="1">
      <c r="A16" s="28" t="s">
        <v>16</v>
      </c>
      <c r="B16" s="29">
        <f>Kurs!H9</f>
        <v>166000</v>
      </c>
      <c r="C16" s="32">
        <v>149100.0</v>
      </c>
      <c r="D16" s="30">
        <v>158000.0</v>
      </c>
      <c r="E16" s="3"/>
      <c r="F16" s="3"/>
      <c r="G16" s="3"/>
      <c r="H16" s="3"/>
      <c r="I16" s="3"/>
      <c r="J16" s="3"/>
      <c r="K16" s="3"/>
      <c r="L16" s="31"/>
      <c r="M16" s="3"/>
      <c r="N16" s="3"/>
      <c r="O16" s="3"/>
      <c r="P16" s="3"/>
      <c r="Q16" s="3"/>
      <c r="R16" s="3"/>
      <c r="S16" s="3"/>
      <c r="T16" s="3"/>
      <c r="U16" s="3"/>
      <c r="V16" s="3"/>
      <c r="W16" s="3"/>
      <c r="X16" s="3"/>
      <c r="Y16" s="3"/>
      <c r="Z16" s="3"/>
    </row>
    <row r="17" ht="15.75" customHeight="1">
      <c r="A17" s="28" t="s">
        <v>17</v>
      </c>
      <c r="B17" s="29">
        <v>10000.0</v>
      </c>
      <c r="C17" s="29">
        <v>13579.0</v>
      </c>
      <c r="D17" s="29">
        <v>10000.0</v>
      </c>
      <c r="E17" s="33" t="s">
        <v>18</v>
      </c>
      <c r="F17" s="3"/>
      <c r="G17" s="3"/>
      <c r="H17" s="3"/>
      <c r="I17" s="3"/>
      <c r="J17" s="3"/>
      <c r="K17" s="3"/>
      <c r="L17" s="31"/>
      <c r="M17" s="3"/>
      <c r="N17" s="3"/>
      <c r="O17" s="3"/>
      <c r="P17" s="3"/>
      <c r="Q17" s="3"/>
      <c r="R17" s="3"/>
      <c r="S17" s="3"/>
      <c r="T17" s="3"/>
      <c r="U17" s="3"/>
      <c r="V17" s="3"/>
      <c r="W17" s="3"/>
      <c r="X17" s="3"/>
      <c r="Y17" s="3"/>
      <c r="Z17" s="3"/>
    </row>
    <row r="18" ht="15.75" customHeight="1">
      <c r="A18" s="34" t="s">
        <v>19</v>
      </c>
      <c r="B18" s="29"/>
      <c r="C18" s="30">
        <v>5000.0</v>
      </c>
      <c r="D18" s="29"/>
      <c r="E18" s="35"/>
      <c r="F18" s="3"/>
      <c r="G18" s="3"/>
      <c r="H18" s="3"/>
      <c r="I18" s="3"/>
      <c r="J18" s="3"/>
      <c r="K18" s="3"/>
      <c r="L18" s="31"/>
      <c r="M18" s="3"/>
      <c r="N18" s="3"/>
      <c r="O18" s="3"/>
      <c r="P18" s="3"/>
      <c r="Q18" s="3"/>
      <c r="R18" s="3"/>
      <c r="S18" s="3"/>
      <c r="T18" s="3"/>
      <c r="U18" s="3"/>
      <c r="V18" s="3"/>
      <c r="W18" s="3"/>
      <c r="X18" s="3"/>
      <c r="Y18" s="3"/>
      <c r="Z18" s="3"/>
    </row>
    <row r="19" ht="15.75" customHeight="1">
      <c r="A19" s="28" t="s">
        <v>20</v>
      </c>
      <c r="B19" s="29">
        <v>0.0</v>
      </c>
      <c r="C19" s="29">
        <v>2656.0</v>
      </c>
      <c r="D19" s="29">
        <f>180*100</f>
        <v>18000</v>
      </c>
      <c r="E19" s="35"/>
      <c r="F19" s="3"/>
      <c r="G19" s="3"/>
      <c r="H19" s="3"/>
      <c r="I19" s="3"/>
      <c r="J19" s="3"/>
      <c r="K19" s="3"/>
      <c r="L19" s="31"/>
      <c r="M19" s="3"/>
      <c r="N19" s="3"/>
      <c r="O19" s="3"/>
      <c r="P19" s="3"/>
      <c r="Q19" s="3"/>
      <c r="R19" s="3"/>
      <c r="S19" s="3"/>
      <c r="T19" s="3"/>
      <c r="U19" s="3"/>
      <c r="V19" s="3"/>
      <c r="W19" s="3"/>
      <c r="X19" s="3"/>
      <c r="Y19" s="3"/>
      <c r="Z19" s="3"/>
    </row>
    <row r="20" ht="15.75" customHeight="1">
      <c r="A20" s="28" t="s">
        <v>21</v>
      </c>
      <c r="B20" s="29">
        <v>500.0</v>
      </c>
      <c r="C20" s="29">
        <v>2500.0</v>
      </c>
      <c r="D20" s="29"/>
      <c r="E20" s="31" t="s">
        <v>22</v>
      </c>
      <c r="F20" s="3"/>
      <c r="G20" s="3"/>
      <c r="H20" s="3"/>
      <c r="I20" s="3"/>
      <c r="J20" s="3"/>
      <c r="K20" s="3"/>
      <c r="L20" s="31"/>
      <c r="M20" s="3"/>
      <c r="N20" s="3"/>
      <c r="O20" s="3"/>
      <c r="P20" s="3"/>
      <c r="Q20" s="3"/>
      <c r="R20" s="3"/>
      <c r="S20" s="3"/>
      <c r="T20" s="3"/>
      <c r="U20" s="3"/>
      <c r="V20" s="3"/>
      <c r="W20" s="3"/>
      <c r="X20" s="3"/>
      <c r="Y20" s="3"/>
      <c r="Z20" s="3"/>
    </row>
    <row r="21" ht="15.75" customHeight="1">
      <c r="A21" s="36" t="s">
        <v>23</v>
      </c>
      <c r="B21" s="29">
        <v>6000.0</v>
      </c>
      <c r="C21" s="30">
        <v>15960.0</v>
      </c>
      <c r="D21" s="29"/>
      <c r="E21" s="31" t="s">
        <v>24</v>
      </c>
      <c r="F21" s="3"/>
      <c r="G21" s="3"/>
      <c r="H21" s="3"/>
      <c r="I21" s="3"/>
      <c r="J21" s="3"/>
      <c r="K21" s="3"/>
      <c r="L21" s="31"/>
      <c r="M21" s="3"/>
      <c r="N21" s="3"/>
      <c r="O21" s="3"/>
      <c r="P21" s="3"/>
      <c r="Q21" s="3"/>
      <c r="R21" s="3"/>
      <c r="S21" s="3"/>
      <c r="T21" s="3"/>
      <c r="U21" s="3"/>
      <c r="V21" s="3"/>
      <c r="W21" s="3"/>
      <c r="X21" s="3"/>
      <c r="Y21" s="3"/>
      <c r="Z21" s="3"/>
    </row>
    <row r="22" ht="15.75" customHeight="1">
      <c r="A22" s="28" t="s">
        <v>25</v>
      </c>
      <c r="B22" s="29">
        <f>22000</f>
        <v>22000</v>
      </c>
      <c r="C22" s="29">
        <v>22150.0</v>
      </c>
      <c r="D22" s="29"/>
      <c r="E22" s="31" t="s">
        <v>26</v>
      </c>
      <c r="F22" s="3"/>
      <c r="G22" s="3"/>
      <c r="H22" s="3"/>
      <c r="I22" s="3"/>
      <c r="J22" s="3"/>
      <c r="K22" s="3"/>
      <c r="L22" s="31"/>
      <c r="M22" s="3"/>
      <c r="N22" s="3"/>
      <c r="O22" s="3"/>
      <c r="P22" s="3"/>
      <c r="Q22" s="3"/>
      <c r="R22" s="3"/>
      <c r="S22" s="3"/>
      <c r="T22" s="3"/>
      <c r="U22" s="3"/>
      <c r="V22" s="3"/>
      <c r="W22" s="3"/>
      <c r="X22" s="3"/>
      <c r="Y22" s="3"/>
      <c r="Z22" s="3"/>
    </row>
    <row r="23" ht="15.75" customHeight="1">
      <c r="A23" s="37" t="s">
        <v>27</v>
      </c>
      <c r="B23" s="38">
        <f t="shared" ref="B23:D23" si="1">SUM(B14:B22)</f>
        <v>737775</v>
      </c>
      <c r="C23" s="38">
        <f t="shared" si="1"/>
        <v>801523</v>
      </c>
      <c r="D23" s="38">
        <f t="shared" si="1"/>
        <v>783644.8</v>
      </c>
      <c r="E23" s="3"/>
      <c r="F23" s="3"/>
      <c r="G23" s="3"/>
      <c r="H23" s="3"/>
      <c r="I23" s="3"/>
      <c r="J23" s="3"/>
      <c r="K23" s="3"/>
      <c r="L23" s="31"/>
      <c r="M23" s="3"/>
      <c r="N23" s="3"/>
      <c r="O23" s="3"/>
      <c r="P23" s="3"/>
      <c r="Q23" s="3"/>
      <c r="R23" s="3"/>
      <c r="S23" s="3"/>
      <c r="T23" s="3"/>
      <c r="U23" s="3"/>
      <c r="V23" s="3"/>
      <c r="W23" s="3"/>
      <c r="X23" s="3"/>
      <c r="Y23" s="3"/>
      <c r="Z23" s="3"/>
    </row>
    <row r="24" ht="15.75" customHeight="1">
      <c r="A24" s="22" t="s">
        <v>28</v>
      </c>
      <c r="B24" s="29"/>
      <c r="C24" s="29"/>
      <c r="D24" s="29"/>
      <c r="E24" s="3"/>
      <c r="F24" s="3"/>
      <c r="G24" s="3"/>
      <c r="H24" s="3"/>
      <c r="I24" s="3"/>
      <c r="J24" s="3"/>
      <c r="K24" s="3"/>
      <c r="L24" s="31"/>
      <c r="M24" s="3"/>
      <c r="N24" s="3"/>
      <c r="O24" s="3"/>
      <c r="P24" s="3"/>
      <c r="Q24" s="3"/>
      <c r="R24" s="3"/>
      <c r="S24" s="3"/>
      <c r="T24" s="3"/>
      <c r="U24" s="3"/>
      <c r="V24" s="3"/>
      <c r="W24" s="3"/>
      <c r="X24" s="3"/>
      <c r="Y24" s="3"/>
      <c r="Z24" s="3"/>
    </row>
    <row r="25" ht="15.75" customHeight="1">
      <c r="A25" s="28" t="s">
        <v>29</v>
      </c>
      <c r="B25" s="29">
        <f>Driftstilskudd!G7</f>
        <v>268239</v>
      </c>
      <c r="C25" s="29">
        <v>444794.0</v>
      </c>
      <c r="D25" s="30">
        <f>232890 + 120000</f>
        <v>352890</v>
      </c>
      <c r="E25" s="35" t="s">
        <v>30</v>
      </c>
      <c r="F25" s="3"/>
      <c r="G25" s="3"/>
      <c r="H25" s="3"/>
      <c r="I25" s="3"/>
      <c r="J25" s="3"/>
      <c r="K25" s="3"/>
      <c r="L25" s="31"/>
      <c r="M25" s="3"/>
      <c r="N25" s="3"/>
      <c r="O25" s="3"/>
      <c r="P25" s="3"/>
      <c r="Q25" s="3"/>
      <c r="R25" s="3"/>
      <c r="S25" s="3"/>
      <c r="T25" s="3"/>
      <c r="U25" s="3"/>
      <c r="V25" s="3"/>
      <c r="W25" s="3"/>
      <c r="X25" s="3"/>
      <c r="Y25" s="3"/>
      <c r="Z25" s="3"/>
    </row>
    <row r="26" ht="15.75" customHeight="1">
      <c r="A26" s="28" t="s">
        <v>31</v>
      </c>
      <c r="B26" s="29">
        <v>20000.0</v>
      </c>
      <c r="C26" s="29">
        <v>25750.0</v>
      </c>
      <c r="D26" s="30">
        <v>14000.0</v>
      </c>
      <c r="E26" s="35" t="s">
        <v>32</v>
      </c>
      <c r="F26" s="3"/>
      <c r="G26" s="3"/>
      <c r="H26" s="3"/>
      <c r="I26" s="3"/>
      <c r="J26" s="3"/>
      <c r="K26" s="3"/>
      <c r="L26" s="31"/>
      <c r="M26" s="3"/>
      <c r="N26" s="3"/>
      <c r="O26" s="3"/>
      <c r="P26" s="3"/>
      <c r="Q26" s="3"/>
      <c r="R26" s="3"/>
      <c r="S26" s="3"/>
      <c r="T26" s="3"/>
      <c r="U26" s="3"/>
      <c r="V26" s="3"/>
      <c r="W26" s="3"/>
      <c r="X26" s="3"/>
      <c r="Y26" s="3"/>
      <c r="Z26" s="3"/>
    </row>
    <row r="27" ht="15.75" customHeight="1">
      <c r="A27" s="28" t="s">
        <v>33</v>
      </c>
      <c r="B27" s="29">
        <v>200.0</v>
      </c>
      <c r="C27" s="29">
        <v>200.0</v>
      </c>
      <c r="D27" s="29"/>
      <c r="E27" s="31" t="s">
        <v>34</v>
      </c>
      <c r="F27" s="3"/>
      <c r="G27" s="3"/>
      <c r="H27" s="3"/>
      <c r="I27" s="3"/>
      <c r="J27" s="3"/>
      <c r="K27" s="3"/>
      <c r="L27" s="31"/>
      <c r="M27" s="3"/>
      <c r="N27" s="3"/>
      <c r="O27" s="3"/>
      <c r="P27" s="3"/>
      <c r="Q27" s="3"/>
      <c r="R27" s="3"/>
      <c r="S27" s="3"/>
      <c r="T27" s="3"/>
      <c r="U27" s="3"/>
      <c r="V27" s="3"/>
      <c r="W27" s="3"/>
      <c r="X27" s="3"/>
      <c r="Y27" s="3"/>
      <c r="Z27" s="3"/>
    </row>
    <row r="28" ht="15.75" customHeight="1">
      <c r="A28" s="37" t="s">
        <v>35</v>
      </c>
      <c r="B28" s="38">
        <f t="shared" ref="B28:D28" si="2">SUM(B25:B27)</f>
        <v>288439</v>
      </c>
      <c r="C28" s="38">
        <f t="shared" si="2"/>
        <v>470744</v>
      </c>
      <c r="D28" s="38">
        <f t="shared" si="2"/>
        <v>366890</v>
      </c>
      <c r="E28" s="3"/>
      <c r="F28" s="3"/>
      <c r="G28" s="3"/>
      <c r="H28" s="3"/>
      <c r="I28" s="3"/>
      <c r="J28" s="3"/>
      <c r="K28" s="3"/>
      <c r="L28" s="31"/>
      <c r="M28" s="3"/>
      <c r="N28" s="3"/>
      <c r="O28" s="3"/>
      <c r="P28" s="3"/>
      <c r="Q28" s="3"/>
      <c r="R28" s="3"/>
      <c r="S28" s="3"/>
      <c r="T28" s="3"/>
      <c r="U28" s="3"/>
      <c r="V28" s="3"/>
      <c r="W28" s="3"/>
      <c r="X28" s="3"/>
      <c r="Y28" s="3"/>
      <c r="Z28" s="3"/>
    </row>
    <row r="29" ht="15.75" customHeight="1">
      <c r="A29" s="39" t="s">
        <v>36</v>
      </c>
      <c r="B29" s="40">
        <f t="shared" ref="B29:D29" si="3">SUM(B23+B28)</f>
        <v>1026214</v>
      </c>
      <c r="C29" s="40">
        <f t="shared" si="3"/>
        <v>1272267</v>
      </c>
      <c r="D29" s="40">
        <f t="shared" si="3"/>
        <v>1150534.8</v>
      </c>
      <c r="E29" s="33" t="s">
        <v>37</v>
      </c>
      <c r="F29" s="3"/>
      <c r="G29" s="3"/>
      <c r="H29" s="3"/>
      <c r="I29" s="3"/>
      <c r="J29" s="3"/>
      <c r="K29" s="3"/>
      <c r="L29" s="3"/>
      <c r="M29" s="3"/>
      <c r="N29" s="3"/>
      <c r="O29" s="3"/>
      <c r="P29" s="3"/>
      <c r="Q29" s="3"/>
      <c r="R29" s="3"/>
      <c r="S29" s="3"/>
      <c r="T29" s="3"/>
      <c r="U29" s="3"/>
      <c r="V29" s="3"/>
      <c r="W29" s="3"/>
      <c r="X29" s="3"/>
      <c r="Y29" s="3"/>
      <c r="Z29" s="3"/>
    </row>
    <row r="30" ht="15.75" customHeight="1">
      <c r="A30" s="22" t="s">
        <v>38</v>
      </c>
      <c r="B30" s="29"/>
      <c r="C30" s="29"/>
      <c r="D30" s="29"/>
      <c r="E30" s="3"/>
      <c r="F30" s="3"/>
      <c r="G30" s="3"/>
      <c r="H30" s="3"/>
      <c r="I30" s="3"/>
      <c r="J30" s="3"/>
      <c r="K30" s="3"/>
      <c r="L30" s="3"/>
      <c r="M30" s="3"/>
      <c r="N30" s="3"/>
      <c r="O30" s="3"/>
      <c r="P30" s="3"/>
      <c r="Q30" s="3"/>
      <c r="R30" s="3"/>
      <c r="S30" s="3"/>
      <c r="T30" s="3"/>
      <c r="U30" s="3"/>
      <c r="V30" s="3"/>
      <c r="W30" s="3"/>
      <c r="X30" s="3"/>
      <c r="Y30" s="3"/>
      <c r="Z30" s="3"/>
    </row>
    <row r="31" ht="15.75" customHeight="1">
      <c r="A31" s="25" t="s">
        <v>39</v>
      </c>
      <c r="B31" s="41"/>
      <c r="C31" s="41"/>
      <c r="D31" s="41"/>
      <c r="E31" s="3"/>
      <c r="F31" s="3"/>
      <c r="G31" s="3"/>
      <c r="H31" s="3"/>
      <c r="I31" s="3"/>
      <c r="J31" s="3"/>
      <c r="K31" s="3"/>
      <c r="L31" s="3"/>
      <c r="M31" s="3"/>
      <c r="N31" s="3"/>
      <c r="O31" s="3"/>
      <c r="P31" s="3"/>
      <c r="Q31" s="3"/>
      <c r="R31" s="3"/>
      <c r="S31" s="3"/>
      <c r="T31" s="3"/>
      <c r="U31" s="3"/>
      <c r="V31" s="3"/>
      <c r="W31" s="3"/>
      <c r="X31" s="3"/>
      <c r="Y31" s="3"/>
      <c r="Z31" s="3"/>
    </row>
    <row r="32" ht="15.75" customHeight="1">
      <c r="A32" s="36" t="s">
        <v>40</v>
      </c>
      <c r="B32" s="29">
        <f>5000</f>
        <v>5000</v>
      </c>
      <c r="C32" s="29">
        <v>64410.0</v>
      </c>
      <c r="D32" s="30">
        <v>120000.0</v>
      </c>
      <c r="E32" s="42" t="s">
        <v>41</v>
      </c>
      <c r="F32" s="3"/>
      <c r="G32" s="3"/>
      <c r="H32" s="3"/>
      <c r="I32" s="3"/>
      <c r="J32" s="3"/>
      <c r="K32" s="3"/>
      <c r="L32" s="3"/>
      <c r="M32" s="3"/>
      <c r="N32" s="3"/>
      <c r="O32" s="3"/>
      <c r="P32" s="3"/>
      <c r="Q32" s="3"/>
      <c r="R32" s="3"/>
      <c r="S32" s="3"/>
      <c r="T32" s="3"/>
      <c r="U32" s="3"/>
      <c r="V32" s="3"/>
      <c r="W32" s="3"/>
      <c r="X32" s="3"/>
      <c r="Y32" s="3"/>
      <c r="Z32" s="3"/>
    </row>
    <row r="33" ht="15.75" customHeight="1">
      <c r="A33" s="28" t="s">
        <v>42</v>
      </c>
      <c r="B33" s="29">
        <f>(Treningsbudsjett!J19 + Treningsbudsjett!J23+Treningsbudsjett!J25)*-1</f>
        <v>37300</v>
      </c>
      <c r="C33" s="29">
        <v>4221.0</v>
      </c>
      <c r="D33" s="30">
        <v>5000.0</v>
      </c>
      <c r="E33" s="31" t="s">
        <v>43</v>
      </c>
      <c r="F33" s="3"/>
      <c r="G33" s="3"/>
      <c r="H33" s="3"/>
      <c r="I33" s="3"/>
      <c r="J33" s="3"/>
      <c r="K33" s="3"/>
      <c r="L33" s="3"/>
      <c r="M33" s="3"/>
      <c r="N33" s="3"/>
      <c r="O33" s="3"/>
      <c r="P33" s="3"/>
      <c r="Q33" s="3"/>
      <c r="R33" s="3"/>
      <c r="S33" s="3"/>
      <c r="T33" s="3"/>
      <c r="U33" s="3"/>
      <c r="V33" s="3"/>
      <c r="W33" s="3"/>
      <c r="X33" s="3"/>
      <c r="Y33" s="3"/>
      <c r="Z33" s="3"/>
    </row>
    <row r="34" ht="15.75" customHeight="1">
      <c r="A34" s="28" t="s">
        <v>44</v>
      </c>
      <c r="B34" s="29">
        <f>Treningsbudsjett!J22*-1</f>
        <v>36000</v>
      </c>
      <c r="C34" s="29">
        <v>9207.0</v>
      </c>
      <c r="D34" s="30">
        <v>45000.0</v>
      </c>
      <c r="E34" s="31" t="s">
        <v>45</v>
      </c>
      <c r="F34" s="3"/>
      <c r="G34" s="3"/>
      <c r="H34" s="3"/>
      <c r="I34" s="3"/>
      <c r="J34" s="3"/>
      <c r="K34" s="3"/>
      <c r="L34" s="3"/>
      <c r="M34" s="3"/>
      <c r="N34" s="3"/>
      <c r="O34" s="3"/>
      <c r="P34" s="3"/>
      <c r="Q34" s="3"/>
      <c r="R34" s="3"/>
      <c r="S34" s="3"/>
      <c r="T34" s="3"/>
      <c r="U34" s="3"/>
      <c r="V34" s="3"/>
      <c r="W34" s="3"/>
      <c r="X34" s="3"/>
      <c r="Y34" s="3"/>
      <c r="Z34" s="3"/>
    </row>
    <row r="35" ht="15.75" customHeight="1">
      <c r="A35" s="28" t="s">
        <v>46</v>
      </c>
      <c r="B35" s="29">
        <f>Arrangement!A13+10000</f>
        <v>50000</v>
      </c>
      <c r="C35" s="29">
        <v>4259.0</v>
      </c>
      <c r="D35" s="30">
        <v>40000.0</v>
      </c>
      <c r="E35" s="31" t="s">
        <v>47</v>
      </c>
      <c r="F35" s="3"/>
      <c r="G35" s="3"/>
      <c r="H35" s="3"/>
      <c r="I35" s="3"/>
      <c r="J35" s="3"/>
      <c r="K35" s="3"/>
      <c r="L35" s="3"/>
      <c r="M35" s="3"/>
      <c r="N35" s="3"/>
      <c r="O35" s="3"/>
      <c r="P35" s="3"/>
      <c r="Q35" s="3"/>
      <c r="R35" s="3"/>
      <c r="S35" s="3"/>
      <c r="T35" s="3"/>
      <c r="U35" s="3"/>
      <c r="V35" s="3"/>
      <c r="W35" s="3"/>
      <c r="X35" s="3"/>
      <c r="Y35" s="3"/>
      <c r="Z35" s="3"/>
    </row>
    <row r="36" ht="15.75" customHeight="1">
      <c r="A36" s="28" t="s">
        <v>48</v>
      </c>
      <c r="B36" s="29">
        <f>20000+B26</f>
        <v>40000</v>
      </c>
      <c r="C36" s="29">
        <v>45400.0</v>
      </c>
      <c r="D36" s="30">
        <v>34000.0</v>
      </c>
      <c r="E36" s="35" t="s">
        <v>49</v>
      </c>
      <c r="F36" s="3"/>
      <c r="G36" s="3"/>
      <c r="H36" s="3"/>
      <c r="I36" s="3"/>
      <c r="J36" s="3"/>
      <c r="K36" s="3"/>
      <c r="L36" s="3"/>
      <c r="M36" s="3"/>
      <c r="N36" s="3"/>
      <c r="O36" s="3"/>
      <c r="P36" s="3"/>
      <c r="Q36" s="3"/>
      <c r="R36" s="3"/>
      <c r="S36" s="3"/>
      <c r="T36" s="3"/>
      <c r="U36" s="3"/>
      <c r="V36" s="3"/>
      <c r="W36" s="3"/>
      <c r="X36" s="3"/>
      <c r="Y36" s="3"/>
      <c r="Z36" s="3"/>
    </row>
    <row r="37" ht="15.75" customHeight="1">
      <c r="A37" s="37" t="s">
        <v>50</v>
      </c>
      <c r="B37" s="38">
        <f>SUM(B32:B36)</f>
        <v>168300</v>
      </c>
      <c r="C37" s="38">
        <f>SUM(C32:C36) +1</f>
        <v>127498</v>
      </c>
      <c r="D37" s="38">
        <f>SUM(D32:D36)</f>
        <v>244000</v>
      </c>
      <c r="E37" s="3"/>
      <c r="F37" s="3"/>
      <c r="G37" s="3"/>
      <c r="H37" s="3"/>
      <c r="I37" s="3"/>
      <c r="J37" s="3"/>
      <c r="K37" s="3"/>
      <c r="L37" s="3"/>
      <c r="M37" s="3"/>
      <c r="N37" s="3"/>
      <c r="O37" s="3"/>
      <c r="P37" s="3"/>
      <c r="Q37" s="3"/>
      <c r="R37" s="3"/>
      <c r="S37" s="3"/>
      <c r="T37" s="3"/>
      <c r="U37" s="3"/>
      <c r="V37" s="3"/>
      <c r="W37" s="3"/>
      <c r="X37" s="3"/>
      <c r="Y37" s="3"/>
      <c r="Z37" s="3"/>
    </row>
    <row r="38" ht="15.75" customHeight="1">
      <c r="A38" s="22" t="s">
        <v>51</v>
      </c>
      <c r="B38" s="29"/>
      <c r="C38" s="29"/>
      <c r="D38" s="29"/>
      <c r="E38" s="3"/>
      <c r="F38" s="3"/>
      <c r="G38" s="3"/>
      <c r="H38" s="3"/>
      <c r="I38" s="3"/>
      <c r="J38" s="3"/>
      <c r="K38" s="3"/>
      <c r="L38" s="3"/>
      <c r="M38" s="3"/>
      <c r="N38" s="3"/>
      <c r="O38" s="3"/>
      <c r="P38" s="3"/>
      <c r="Q38" s="3"/>
      <c r="R38" s="3"/>
      <c r="S38" s="3"/>
      <c r="T38" s="3"/>
      <c r="U38" s="3"/>
      <c r="V38" s="3"/>
      <c r="W38" s="3"/>
      <c r="X38" s="3"/>
      <c r="Y38" s="3"/>
      <c r="Z38" s="3"/>
    </row>
    <row r="39" ht="15.75" customHeight="1">
      <c r="A39" s="28" t="s">
        <v>52</v>
      </c>
      <c r="B39" s="29">
        <f>(315000/52*47)</f>
        <v>284711.5385</v>
      </c>
      <c r="C39" s="29">
        <v>325867.0</v>
      </c>
      <c r="D39" s="30">
        <v>320531.0</v>
      </c>
      <c r="E39" s="42" t="s">
        <v>53</v>
      </c>
      <c r="F39" s="3"/>
      <c r="G39" s="3"/>
      <c r="H39" s="3"/>
      <c r="I39" s="3"/>
      <c r="J39" s="3"/>
      <c r="K39" s="3"/>
      <c r="L39" s="3"/>
      <c r="M39" s="3"/>
      <c r="N39" s="3"/>
      <c r="O39" s="3"/>
      <c r="P39" s="3"/>
      <c r="Q39" s="3"/>
      <c r="R39" s="3"/>
      <c r="S39" s="3"/>
      <c r="T39" s="3"/>
      <c r="U39" s="3"/>
      <c r="V39" s="3"/>
      <c r="W39" s="3"/>
      <c r="X39" s="3"/>
      <c r="Y39" s="3"/>
      <c r="Z39" s="3"/>
    </row>
    <row r="40" ht="15.75" customHeight="1">
      <c r="A40" s="28" t="s">
        <v>54</v>
      </c>
      <c r="B40" s="29">
        <f>Treningsbudsjett!G13+Kurs!E9+(Treningsbudsjett!J21*-1)</f>
        <v>225867.6</v>
      </c>
      <c r="C40" s="30">
        <v>195798.0</v>
      </c>
      <c r="D40" s="30">
        <v>323734.0</v>
      </c>
      <c r="E40" s="33" t="s">
        <v>55</v>
      </c>
      <c r="F40" s="3"/>
      <c r="G40" s="3"/>
      <c r="H40" s="3"/>
      <c r="I40" s="3"/>
      <c r="J40" s="3"/>
      <c r="K40" s="3"/>
      <c r="L40" s="3"/>
      <c r="M40" s="3"/>
      <c r="N40" s="3"/>
      <c r="O40" s="3"/>
      <c r="P40" s="3"/>
      <c r="Q40" s="3"/>
      <c r="R40" s="3"/>
      <c r="S40" s="3"/>
      <c r="T40" s="3"/>
      <c r="U40" s="3"/>
      <c r="V40" s="3"/>
      <c r="W40" s="3"/>
      <c r="X40" s="3"/>
      <c r="Y40" s="3"/>
      <c r="Z40" s="3"/>
    </row>
    <row r="41" ht="15.75" customHeight="1">
      <c r="A41" s="34" t="s">
        <v>56</v>
      </c>
      <c r="B41" s="29">
        <f>(315000)/52*47*feriepengesats</f>
        <v>34165.38462</v>
      </c>
      <c r="C41" s="29">
        <f>62600</f>
        <v>62600</v>
      </c>
      <c r="D41" s="30">
        <v>37642.0</v>
      </c>
      <c r="E41" s="43"/>
      <c r="F41" s="3"/>
      <c r="G41" s="3"/>
      <c r="H41" s="3"/>
      <c r="I41" s="3"/>
      <c r="J41" s="3"/>
      <c r="K41" s="3"/>
      <c r="L41" s="3"/>
      <c r="M41" s="3"/>
      <c r="N41" s="3"/>
      <c r="O41" s="3"/>
      <c r="P41" s="3"/>
      <c r="Q41" s="3"/>
      <c r="R41" s="3"/>
      <c r="S41" s="3"/>
      <c r="T41" s="3"/>
      <c r="U41" s="3"/>
      <c r="V41" s="3"/>
      <c r="W41" s="3"/>
      <c r="X41" s="3"/>
      <c r="Y41" s="3"/>
      <c r="Z41" s="3"/>
    </row>
    <row r="42" ht="15.75" customHeight="1">
      <c r="A42" s="28" t="s">
        <v>57</v>
      </c>
      <c r="B42" s="29">
        <f>(B39+B41)/100*14.1</f>
        <v>44961.64615</v>
      </c>
      <c r="C42" s="29">
        <f>45947+5514</f>
        <v>51461</v>
      </c>
      <c r="D42" s="30">
        <v>50502.0</v>
      </c>
      <c r="E42" s="33" t="s">
        <v>58</v>
      </c>
      <c r="F42" s="3"/>
      <c r="G42" s="3"/>
      <c r="H42" s="3"/>
      <c r="I42" s="3"/>
      <c r="J42" s="3"/>
      <c r="K42" s="3"/>
      <c r="L42" s="3"/>
      <c r="M42" s="3"/>
      <c r="N42" s="3"/>
      <c r="O42" s="3"/>
      <c r="P42" s="3"/>
      <c r="Q42" s="3"/>
      <c r="R42" s="3"/>
      <c r="S42" s="3"/>
      <c r="T42" s="3"/>
      <c r="U42" s="3"/>
      <c r="V42" s="3"/>
      <c r="W42" s="3"/>
      <c r="X42" s="3"/>
      <c r="Y42" s="3"/>
      <c r="Z42" s="3"/>
    </row>
    <row r="43" ht="15.75" customHeight="1">
      <c r="A43" s="28" t="s">
        <v>59</v>
      </c>
      <c r="B43" s="29">
        <v>15000.0</v>
      </c>
      <c r="C43" s="30"/>
      <c r="D43" s="30">
        <v>6819.0</v>
      </c>
      <c r="E43" s="35" t="s">
        <v>60</v>
      </c>
      <c r="F43" s="3"/>
      <c r="G43" s="3"/>
      <c r="H43" s="3"/>
      <c r="I43" s="3"/>
      <c r="J43" s="3"/>
      <c r="K43" s="3"/>
      <c r="L43" s="3"/>
      <c r="M43" s="3"/>
      <c r="N43" s="3"/>
      <c r="O43" s="3"/>
      <c r="P43" s="3"/>
      <c r="Q43" s="3"/>
      <c r="R43" s="3"/>
      <c r="S43" s="3"/>
      <c r="T43" s="3"/>
      <c r="U43" s="3"/>
      <c r="V43" s="3"/>
      <c r="W43" s="3"/>
      <c r="X43" s="3"/>
      <c r="Y43" s="3"/>
      <c r="Z43" s="3"/>
    </row>
    <row r="44" ht="15.75" customHeight="1">
      <c r="A44" s="37" t="s">
        <v>61</v>
      </c>
      <c r="B44" s="38">
        <f t="shared" ref="B44:D44" si="4">SUM(B39:B43)</f>
        <v>604706.1692</v>
      </c>
      <c r="C44" s="38">
        <f t="shared" si="4"/>
        <v>635726</v>
      </c>
      <c r="D44" s="38">
        <f t="shared" si="4"/>
        <v>739228</v>
      </c>
      <c r="E44" s="3"/>
      <c r="F44" s="3"/>
      <c r="G44" s="3"/>
      <c r="H44" s="3"/>
      <c r="I44" s="3"/>
      <c r="J44" s="3"/>
      <c r="K44" s="3"/>
      <c r="L44" s="3"/>
      <c r="M44" s="3"/>
      <c r="N44" s="3"/>
      <c r="O44" s="3"/>
      <c r="P44" s="3"/>
      <c r="Q44" s="3"/>
      <c r="R44" s="3"/>
      <c r="S44" s="3"/>
      <c r="T44" s="3"/>
      <c r="U44" s="3"/>
      <c r="V44" s="3"/>
      <c r="W44" s="3"/>
      <c r="X44" s="3"/>
      <c r="Y44" s="3"/>
      <c r="Z44" s="3"/>
    </row>
    <row r="45" ht="15.75" customHeight="1">
      <c r="A45" s="22" t="s">
        <v>62</v>
      </c>
      <c r="B45" s="29"/>
      <c r="C45" s="29"/>
      <c r="D45" s="29"/>
      <c r="E45" s="3"/>
      <c r="F45" s="3"/>
      <c r="G45" s="3"/>
      <c r="H45" s="3"/>
      <c r="I45" s="3"/>
      <c r="J45" s="3"/>
      <c r="K45" s="3"/>
      <c r="L45" s="3"/>
      <c r="M45" s="3"/>
      <c r="N45" s="3"/>
      <c r="O45" s="3"/>
      <c r="P45" s="3"/>
      <c r="Q45" s="3"/>
      <c r="R45" s="3"/>
      <c r="S45" s="3"/>
      <c r="T45" s="3"/>
      <c r="U45" s="3"/>
      <c r="V45" s="3"/>
      <c r="W45" s="3"/>
      <c r="X45" s="3"/>
      <c r="Y45" s="3"/>
      <c r="Z45" s="3"/>
    </row>
    <row r="46" ht="15.75" customHeight="1">
      <c r="A46" s="28" t="s">
        <v>63</v>
      </c>
      <c r="B46" s="29">
        <v>5000.0</v>
      </c>
      <c r="C46" s="29">
        <v>0.0</v>
      </c>
      <c r="D46" s="29">
        <v>10000.0</v>
      </c>
      <c r="E46" s="31" t="s">
        <v>64</v>
      </c>
      <c r="F46" s="3"/>
      <c r="G46" s="3"/>
      <c r="H46" s="3"/>
      <c r="I46" s="3"/>
      <c r="J46" s="3"/>
      <c r="K46" s="3"/>
      <c r="L46" s="3"/>
      <c r="M46" s="3"/>
      <c r="N46" s="3"/>
      <c r="O46" s="3"/>
      <c r="P46" s="3"/>
      <c r="Q46" s="3"/>
      <c r="R46" s="3"/>
      <c r="S46" s="3"/>
      <c r="T46" s="3"/>
      <c r="U46" s="3"/>
      <c r="V46" s="3"/>
      <c r="W46" s="3"/>
      <c r="X46" s="3"/>
      <c r="Y46" s="3"/>
      <c r="Z46" s="3"/>
    </row>
    <row r="47" ht="15.75" customHeight="1">
      <c r="A47" s="28" t="s">
        <v>65</v>
      </c>
      <c r="B47" s="30">
        <v>11500.0</v>
      </c>
      <c r="C47" s="29">
        <v>10741.0</v>
      </c>
      <c r="D47" s="29">
        <v>6420.0</v>
      </c>
      <c r="E47" s="31" t="s">
        <v>66</v>
      </c>
      <c r="F47" s="3"/>
      <c r="G47" s="3"/>
      <c r="H47" s="3"/>
      <c r="I47" s="3"/>
      <c r="J47" s="3"/>
      <c r="K47" s="3"/>
      <c r="L47" s="3"/>
      <c r="M47" s="3"/>
      <c r="N47" s="3"/>
      <c r="O47" s="3"/>
      <c r="P47" s="3"/>
      <c r="Q47" s="3"/>
      <c r="R47" s="3"/>
      <c r="S47" s="3"/>
      <c r="T47" s="3"/>
      <c r="U47" s="3"/>
      <c r="V47" s="3"/>
      <c r="W47" s="3"/>
      <c r="X47" s="3"/>
      <c r="Y47" s="3"/>
      <c r="Z47" s="3"/>
    </row>
    <row r="48" ht="15.75" customHeight="1">
      <c r="A48" s="34" t="s">
        <v>67</v>
      </c>
      <c r="B48" s="29"/>
      <c r="C48" s="30">
        <v>2400.0</v>
      </c>
      <c r="D48" s="29"/>
      <c r="E48" s="31" t="s">
        <v>68</v>
      </c>
      <c r="F48" s="3"/>
      <c r="G48" s="3"/>
      <c r="H48" s="3"/>
      <c r="I48" s="3"/>
      <c r="J48" s="3"/>
      <c r="K48" s="3"/>
      <c r="L48" s="3"/>
      <c r="M48" s="3"/>
      <c r="N48" s="3"/>
      <c r="O48" s="3"/>
      <c r="P48" s="3"/>
      <c r="Q48" s="3"/>
      <c r="R48" s="3"/>
      <c r="S48" s="3"/>
      <c r="T48" s="3"/>
      <c r="U48" s="3"/>
      <c r="V48" s="3"/>
      <c r="W48" s="3"/>
      <c r="X48" s="3"/>
      <c r="Y48" s="3"/>
      <c r="Z48" s="3"/>
    </row>
    <row r="49" ht="15.75" customHeight="1">
      <c r="A49" s="28" t="s">
        <v>69</v>
      </c>
      <c r="B49" s="29">
        <v>35000.0</v>
      </c>
      <c r="C49" s="29">
        <v>28413.0</v>
      </c>
      <c r="D49" s="29">
        <v>35000.0</v>
      </c>
      <c r="E49" s="31" t="s">
        <v>70</v>
      </c>
      <c r="F49" s="3"/>
      <c r="G49" s="3"/>
      <c r="H49" s="3"/>
      <c r="I49" s="3"/>
      <c r="J49" s="3"/>
      <c r="K49" s="3"/>
      <c r="L49" s="3"/>
      <c r="M49" s="3"/>
      <c r="N49" s="3"/>
      <c r="O49" s="3"/>
      <c r="P49" s="3"/>
      <c r="Q49" s="3"/>
      <c r="R49" s="3"/>
      <c r="S49" s="3"/>
      <c r="T49" s="3"/>
      <c r="U49" s="3"/>
      <c r="V49" s="3"/>
      <c r="W49" s="3"/>
      <c r="X49" s="3"/>
      <c r="Y49" s="3"/>
      <c r="Z49" s="3"/>
    </row>
    <row r="50" ht="15.75" customHeight="1">
      <c r="A50" s="28" t="s">
        <v>71</v>
      </c>
      <c r="B50" s="29">
        <v>3000.0</v>
      </c>
      <c r="C50" s="30">
        <v>2589.0</v>
      </c>
      <c r="D50" s="29">
        <f>3000</f>
        <v>3000</v>
      </c>
      <c r="E50" s="3"/>
      <c r="F50" s="3"/>
      <c r="G50" s="3"/>
      <c r="H50" s="3"/>
      <c r="I50" s="3"/>
      <c r="J50" s="3"/>
      <c r="K50" s="3"/>
      <c r="L50" s="3"/>
      <c r="M50" s="3"/>
      <c r="N50" s="3"/>
      <c r="O50" s="3"/>
      <c r="P50" s="3"/>
      <c r="Q50" s="3"/>
      <c r="R50" s="3"/>
      <c r="S50" s="3"/>
      <c r="T50" s="3"/>
      <c r="U50" s="3"/>
      <c r="V50" s="3"/>
      <c r="W50" s="3"/>
      <c r="X50" s="3"/>
      <c r="Y50" s="3"/>
      <c r="Z50" s="3"/>
    </row>
    <row r="51" ht="15.75" customHeight="1">
      <c r="A51" s="28" t="s">
        <v>72</v>
      </c>
      <c r="B51" s="29">
        <v>3000.0</v>
      </c>
      <c r="C51" s="29">
        <v>0.0</v>
      </c>
      <c r="D51" s="29">
        <v>3000.0</v>
      </c>
      <c r="E51" s="31" t="s">
        <v>73</v>
      </c>
      <c r="F51" s="3"/>
      <c r="G51" s="3"/>
      <c r="H51" s="3"/>
      <c r="I51" s="3"/>
      <c r="J51" s="3"/>
      <c r="K51" s="3"/>
      <c r="L51" s="3"/>
      <c r="M51" s="3"/>
      <c r="N51" s="3"/>
      <c r="O51" s="3"/>
      <c r="P51" s="3"/>
      <c r="Q51" s="3"/>
      <c r="R51" s="3"/>
      <c r="S51" s="3"/>
      <c r="T51" s="3"/>
      <c r="U51" s="3"/>
      <c r="V51" s="3"/>
      <c r="W51" s="3"/>
      <c r="X51" s="3"/>
      <c r="Y51" s="3"/>
      <c r="Z51" s="3"/>
    </row>
    <row r="52" ht="15.75" customHeight="1">
      <c r="A52" s="28" t="s">
        <v>74</v>
      </c>
      <c r="B52" s="29">
        <f>'Øvrige '!C17+(Treningsbudsjett!J27*-1)</f>
        <v>21500</v>
      </c>
      <c r="C52" s="29">
        <v>250.0</v>
      </c>
      <c r="D52" s="29">
        <f>3000</f>
        <v>3000</v>
      </c>
      <c r="E52" s="35" t="s">
        <v>75</v>
      </c>
      <c r="F52" s="3"/>
      <c r="G52" s="3"/>
      <c r="H52" s="3"/>
      <c r="I52" s="3"/>
      <c r="J52" s="3"/>
      <c r="K52" s="3"/>
      <c r="L52" s="3"/>
      <c r="M52" s="3"/>
      <c r="N52" s="3"/>
      <c r="O52" s="3"/>
      <c r="P52" s="3"/>
      <c r="Q52" s="3"/>
      <c r="R52" s="3"/>
      <c r="S52" s="3"/>
      <c r="T52" s="3"/>
      <c r="U52" s="3"/>
      <c r="V52" s="3"/>
      <c r="W52" s="3"/>
      <c r="X52" s="3"/>
      <c r="Y52" s="3"/>
      <c r="Z52" s="3"/>
    </row>
    <row r="53" ht="15.75" customHeight="1">
      <c r="A53" s="28" t="s">
        <v>76</v>
      </c>
      <c r="B53" s="29">
        <v>15800.0</v>
      </c>
      <c r="C53" s="29">
        <v>14210.0</v>
      </c>
      <c r="D53" s="29">
        <v>9500.0</v>
      </c>
      <c r="E53" s="31" t="s">
        <v>77</v>
      </c>
      <c r="F53" s="3"/>
      <c r="G53" s="3"/>
      <c r="H53" s="3"/>
      <c r="I53" s="3"/>
      <c r="J53" s="3"/>
      <c r="K53" s="3"/>
      <c r="L53" s="3"/>
      <c r="M53" s="3"/>
      <c r="N53" s="3"/>
      <c r="O53" s="3"/>
      <c r="P53" s="3"/>
      <c r="Q53" s="3"/>
      <c r="R53" s="3"/>
      <c r="S53" s="3"/>
      <c r="T53" s="3"/>
      <c r="U53" s="3"/>
      <c r="V53" s="3"/>
      <c r="W53" s="3"/>
      <c r="X53" s="3"/>
      <c r="Y53" s="3"/>
      <c r="Z53" s="3"/>
    </row>
    <row r="54" ht="15.75" customHeight="1">
      <c r="A54" s="28" t="s">
        <v>78</v>
      </c>
      <c r="B54" s="29">
        <v>3600.0</v>
      </c>
      <c r="C54" s="29">
        <v>5820.0</v>
      </c>
      <c r="D54" s="30">
        <v>6500.0</v>
      </c>
      <c r="E54" s="35" t="s">
        <v>79</v>
      </c>
      <c r="F54" s="3"/>
      <c r="G54" s="3"/>
      <c r="H54" s="3"/>
      <c r="I54" s="3"/>
      <c r="J54" s="3"/>
      <c r="K54" s="3"/>
      <c r="L54" s="3"/>
      <c r="M54" s="3"/>
      <c r="N54" s="3"/>
      <c r="O54" s="3"/>
      <c r="P54" s="3"/>
      <c r="Q54" s="3"/>
      <c r="R54" s="3"/>
      <c r="S54" s="3"/>
      <c r="T54" s="3"/>
      <c r="U54" s="3"/>
      <c r="V54" s="3"/>
      <c r="W54" s="3"/>
      <c r="X54" s="3"/>
      <c r="Y54" s="3"/>
      <c r="Z54" s="3"/>
    </row>
    <row r="55" ht="15.75" customHeight="1">
      <c r="A55" s="28" t="s">
        <v>80</v>
      </c>
      <c r="B55" s="29">
        <f>Treningsbudsjett!J24*-1+Kurs!G25</f>
        <v>28500</v>
      </c>
      <c r="C55" s="30">
        <v>11786.0</v>
      </c>
      <c r="D55" s="30">
        <v>50000.0</v>
      </c>
      <c r="E55" s="31" t="s">
        <v>81</v>
      </c>
      <c r="F55" s="3"/>
      <c r="G55" s="3"/>
      <c r="H55" s="3"/>
      <c r="I55" s="3"/>
      <c r="J55" s="3"/>
      <c r="K55" s="3"/>
      <c r="L55" s="3"/>
      <c r="M55" s="3"/>
      <c r="N55" s="3"/>
      <c r="O55" s="3"/>
      <c r="P55" s="3"/>
      <c r="Q55" s="3"/>
      <c r="R55" s="3"/>
      <c r="S55" s="3"/>
      <c r="T55" s="3"/>
      <c r="U55" s="3"/>
      <c r="V55" s="3"/>
      <c r="W55" s="3"/>
      <c r="X55" s="3"/>
      <c r="Y55" s="3"/>
      <c r="Z55" s="3"/>
    </row>
    <row r="56" ht="15.75" customHeight="1">
      <c r="A56" s="28" t="s">
        <v>82</v>
      </c>
      <c r="B56" s="29">
        <v>1500.0</v>
      </c>
      <c r="C56" s="29">
        <v>719.0</v>
      </c>
      <c r="D56" s="30">
        <v>3900.0</v>
      </c>
      <c r="E56" s="31" t="s">
        <v>83</v>
      </c>
      <c r="F56" s="3"/>
      <c r="G56" s="3"/>
      <c r="H56" s="3"/>
      <c r="I56" s="3"/>
      <c r="J56" s="3"/>
      <c r="K56" s="3"/>
      <c r="L56" s="3"/>
      <c r="M56" s="3"/>
      <c r="N56" s="3"/>
      <c r="O56" s="3"/>
      <c r="P56" s="3"/>
      <c r="Q56" s="3"/>
      <c r="R56" s="3"/>
      <c r="S56" s="3"/>
      <c r="T56" s="3"/>
      <c r="U56" s="3"/>
      <c r="V56" s="3"/>
      <c r="W56" s="3"/>
      <c r="X56" s="3"/>
      <c r="Y56" s="3"/>
      <c r="Z56" s="3"/>
    </row>
    <row r="57" ht="15.75" customHeight="1">
      <c r="A57" s="28" t="s">
        <v>84</v>
      </c>
      <c r="B57" s="29">
        <f>'Øvrige '!C10</f>
        <v>45000</v>
      </c>
      <c r="C57" s="30">
        <v>56718.0</v>
      </c>
      <c r="D57" s="29">
        <v>6000.0</v>
      </c>
      <c r="E57" s="31" t="s">
        <v>85</v>
      </c>
      <c r="F57" s="3"/>
      <c r="G57" s="3"/>
      <c r="H57" s="3"/>
      <c r="I57" s="3"/>
      <c r="J57" s="3"/>
      <c r="K57" s="3"/>
      <c r="L57" s="3"/>
      <c r="M57" s="3"/>
      <c r="N57" s="3"/>
      <c r="O57" s="3"/>
      <c r="P57" s="3"/>
      <c r="Q57" s="3"/>
      <c r="R57" s="3"/>
      <c r="S57" s="3"/>
      <c r="T57" s="3"/>
      <c r="U57" s="3"/>
      <c r="V57" s="3"/>
      <c r="W57" s="3"/>
      <c r="X57" s="3"/>
      <c r="Y57" s="3"/>
      <c r="Z57" s="3"/>
    </row>
    <row r="58" ht="15.75" customHeight="1">
      <c r="A58" s="28" t="s">
        <v>86</v>
      </c>
      <c r="B58" s="29">
        <v>8000.0</v>
      </c>
      <c r="C58" s="30">
        <v>36595.0</v>
      </c>
      <c r="D58" s="29">
        <v>10000.0</v>
      </c>
      <c r="E58" s="42" t="s">
        <v>87</v>
      </c>
      <c r="F58" s="3"/>
      <c r="G58" s="3"/>
      <c r="H58" s="3"/>
      <c r="I58" s="3"/>
      <c r="J58" s="3"/>
      <c r="K58" s="3"/>
      <c r="L58" s="3"/>
      <c r="M58" s="3"/>
      <c r="N58" s="3"/>
      <c r="O58" s="3"/>
      <c r="P58" s="3"/>
      <c r="Q58" s="3"/>
      <c r="R58" s="3"/>
      <c r="S58" s="3"/>
      <c r="T58" s="3"/>
      <c r="U58" s="3"/>
      <c r="V58" s="3"/>
      <c r="W58" s="3"/>
      <c r="X58" s="3"/>
      <c r="Y58" s="3"/>
      <c r="Z58" s="3"/>
    </row>
    <row r="59" ht="15.75" customHeight="1">
      <c r="A59" s="28" t="s">
        <v>88</v>
      </c>
      <c r="B59" s="29">
        <f>Treningsbudsjett!J26*-1</f>
        <v>3000</v>
      </c>
      <c r="C59" s="30">
        <v>3000.0</v>
      </c>
      <c r="D59" s="29">
        <f>Treningsbudsjett!J26*-1</f>
        <v>3000</v>
      </c>
      <c r="E59" s="31" t="s">
        <v>89</v>
      </c>
      <c r="F59" s="3"/>
      <c r="G59" s="3"/>
      <c r="H59" s="3"/>
      <c r="I59" s="3"/>
      <c r="J59" s="3"/>
      <c r="K59" s="3"/>
      <c r="L59" s="3"/>
      <c r="M59" s="3"/>
      <c r="N59" s="3"/>
      <c r="O59" s="3"/>
      <c r="P59" s="3"/>
      <c r="Q59" s="3"/>
      <c r="R59" s="3"/>
      <c r="S59" s="3"/>
      <c r="T59" s="3"/>
      <c r="U59" s="3"/>
      <c r="V59" s="3"/>
      <c r="W59" s="3"/>
      <c r="X59" s="3"/>
      <c r="Y59" s="3"/>
      <c r="Z59" s="3"/>
    </row>
    <row r="60" ht="15.75" customHeight="1">
      <c r="A60" s="28" t="s">
        <v>90</v>
      </c>
      <c r="B60" s="29">
        <f>Forsikring!C11</f>
        <v>8076</v>
      </c>
      <c r="C60" s="30">
        <v>-62.0</v>
      </c>
      <c r="D60" s="30">
        <v>7462.0</v>
      </c>
      <c r="E60" s="31" t="s">
        <v>91</v>
      </c>
      <c r="F60" s="3"/>
      <c r="G60" s="3"/>
      <c r="H60" s="3"/>
      <c r="I60" s="3"/>
      <c r="J60" s="3"/>
      <c r="K60" s="3"/>
      <c r="L60" s="3"/>
      <c r="M60" s="3"/>
      <c r="N60" s="3"/>
      <c r="O60" s="3"/>
      <c r="P60" s="3"/>
      <c r="Q60" s="3"/>
      <c r="R60" s="3"/>
      <c r="S60" s="3"/>
      <c r="T60" s="3"/>
      <c r="U60" s="3"/>
      <c r="V60" s="3"/>
      <c r="W60" s="3"/>
      <c r="X60" s="3"/>
      <c r="Y60" s="3"/>
      <c r="Z60" s="3"/>
    </row>
    <row r="61" ht="15.75" customHeight="1">
      <c r="A61" s="28" t="s">
        <v>92</v>
      </c>
      <c r="B61" s="29">
        <v>6000.0</v>
      </c>
      <c r="C61" s="30">
        <v>25319.0</v>
      </c>
      <c r="D61" s="29">
        <v>10000.0</v>
      </c>
      <c r="E61" s="3"/>
      <c r="F61" s="3"/>
      <c r="G61" s="3"/>
      <c r="H61" s="3"/>
      <c r="I61" s="3"/>
      <c r="J61" s="3"/>
      <c r="K61" s="3"/>
      <c r="L61" s="3"/>
      <c r="M61" s="3"/>
      <c r="N61" s="3"/>
      <c r="O61" s="3"/>
      <c r="P61" s="3"/>
      <c r="Q61" s="3"/>
      <c r="R61" s="3"/>
      <c r="S61" s="3"/>
      <c r="T61" s="3"/>
      <c r="U61" s="3"/>
      <c r="V61" s="3"/>
      <c r="W61" s="3"/>
      <c r="X61" s="3"/>
      <c r="Y61" s="3"/>
      <c r="Z61" s="3"/>
    </row>
    <row r="62" ht="15.75" customHeight="1">
      <c r="A62" s="37" t="s">
        <v>93</v>
      </c>
      <c r="B62" s="38">
        <f t="shared" ref="B62:D62" si="5">SUM(B46:B61)</f>
        <v>198476</v>
      </c>
      <c r="C62" s="38">
        <f t="shared" si="5"/>
        <v>198498</v>
      </c>
      <c r="D62" s="38">
        <f t="shared" si="5"/>
        <v>166782</v>
      </c>
      <c r="E62" s="3"/>
      <c r="F62" s="3"/>
      <c r="G62" s="3"/>
      <c r="H62" s="3"/>
      <c r="I62" s="3"/>
      <c r="J62" s="3"/>
      <c r="K62" s="3"/>
      <c r="L62" s="3"/>
      <c r="M62" s="3"/>
      <c r="N62" s="3"/>
      <c r="O62" s="3"/>
      <c r="P62" s="3"/>
      <c r="Q62" s="3"/>
      <c r="R62" s="3"/>
      <c r="S62" s="3"/>
      <c r="T62" s="3"/>
      <c r="U62" s="3"/>
      <c r="V62" s="3"/>
      <c r="W62" s="3"/>
      <c r="X62" s="3"/>
      <c r="Y62" s="3"/>
      <c r="Z62" s="3"/>
    </row>
    <row r="63" ht="15.75" customHeight="1">
      <c r="A63" s="39" t="s">
        <v>94</v>
      </c>
      <c r="B63" s="40">
        <f t="shared" ref="B63:D63" si="6">B44+B62+B37</f>
        <v>971482.1692</v>
      </c>
      <c r="C63" s="40">
        <f t="shared" si="6"/>
        <v>961722</v>
      </c>
      <c r="D63" s="40">
        <f t="shared" si="6"/>
        <v>1150010</v>
      </c>
      <c r="E63" s="3"/>
      <c r="F63" s="3"/>
      <c r="G63" s="3"/>
      <c r="H63" s="3"/>
      <c r="I63" s="3"/>
      <c r="J63" s="3"/>
      <c r="K63" s="3"/>
      <c r="L63" s="3"/>
      <c r="M63" s="3"/>
      <c r="N63" s="3"/>
      <c r="O63" s="3"/>
      <c r="P63" s="3"/>
      <c r="Q63" s="3"/>
      <c r="R63" s="3"/>
      <c r="S63" s="3"/>
      <c r="T63" s="3"/>
      <c r="U63" s="3"/>
      <c r="V63" s="3"/>
      <c r="W63" s="3"/>
      <c r="X63" s="3"/>
      <c r="Y63" s="3"/>
      <c r="Z63" s="3"/>
    </row>
    <row r="64" ht="15.75" customHeight="1">
      <c r="A64" s="44" t="s">
        <v>95</v>
      </c>
      <c r="B64" s="40">
        <f t="shared" ref="B64:D64" si="7">B29-B63</f>
        <v>54731.83077</v>
      </c>
      <c r="C64" s="40">
        <f t="shared" si="7"/>
        <v>310545</v>
      </c>
      <c r="D64" s="40">
        <f t="shared" si="7"/>
        <v>524.8</v>
      </c>
      <c r="E64" s="3"/>
      <c r="F64" s="3"/>
      <c r="G64" s="3"/>
      <c r="H64" s="3"/>
      <c r="I64" s="3"/>
      <c r="J64" s="3"/>
      <c r="K64" s="3"/>
      <c r="L64" s="3"/>
      <c r="M64" s="3"/>
      <c r="N64" s="3"/>
      <c r="O64" s="3"/>
      <c r="P64" s="3"/>
      <c r="Q64" s="3"/>
      <c r="R64" s="3"/>
      <c r="S64" s="3"/>
      <c r="T64" s="3"/>
      <c r="U64" s="3"/>
      <c r="V64" s="3"/>
      <c r="W64" s="3"/>
      <c r="X64" s="3"/>
      <c r="Y64" s="3"/>
      <c r="Z64" s="3"/>
    </row>
    <row r="65" ht="15.75" customHeight="1">
      <c r="A65" s="18"/>
      <c r="B65" s="30"/>
      <c r="C65" s="29"/>
      <c r="D65" s="18"/>
      <c r="E65" s="3"/>
      <c r="F65" s="3"/>
      <c r="G65" s="3"/>
      <c r="H65" s="3"/>
      <c r="I65" s="3"/>
      <c r="J65" s="3"/>
      <c r="K65" s="3"/>
      <c r="L65" s="3"/>
      <c r="M65" s="3"/>
      <c r="N65" s="3"/>
      <c r="O65" s="3"/>
      <c r="P65" s="3"/>
      <c r="Q65" s="3"/>
      <c r="R65" s="3"/>
      <c r="S65" s="3"/>
      <c r="T65" s="3"/>
      <c r="U65" s="3"/>
      <c r="V65" s="3"/>
      <c r="W65" s="3"/>
      <c r="X65" s="3"/>
      <c r="Y65" s="3"/>
      <c r="Z65" s="3"/>
    </row>
    <row r="66" ht="15.75" customHeight="1">
      <c r="A66" s="18"/>
      <c r="B66" s="30"/>
      <c r="C66" s="29"/>
      <c r="D66" s="18"/>
      <c r="E66" s="3"/>
      <c r="F66" s="3"/>
      <c r="G66" s="3"/>
      <c r="H66" s="3"/>
      <c r="I66" s="3"/>
      <c r="J66" s="3"/>
      <c r="K66" s="3"/>
      <c r="L66" s="3"/>
      <c r="M66" s="3"/>
      <c r="N66" s="3"/>
      <c r="O66" s="3"/>
      <c r="P66" s="3"/>
      <c r="Q66" s="3"/>
      <c r="R66" s="3"/>
      <c r="S66" s="3"/>
      <c r="T66" s="3"/>
      <c r="U66" s="3"/>
      <c r="V66" s="3"/>
      <c r="W66" s="3"/>
      <c r="X66" s="3"/>
      <c r="Y66" s="3"/>
      <c r="Z66" s="3"/>
    </row>
    <row r="67" ht="15.75" customHeight="1">
      <c r="A67" s="22"/>
      <c r="B67" s="30"/>
      <c r="C67" s="29"/>
      <c r="D67" s="24"/>
      <c r="E67" s="3"/>
      <c r="F67" s="3"/>
      <c r="G67" s="3"/>
      <c r="H67" s="3"/>
      <c r="I67" s="3"/>
      <c r="J67" s="3"/>
      <c r="K67" s="3"/>
      <c r="L67" s="3"/>
      <c r="M67" s="3"/>
      <c r="N67" s="3"/>
      <c r="O67" s="3"/>
      <c r="P67" s="3"/>
      <c r="Q67" s="3"/>
      <c r="R67" s="3"/>
      <c r="S67" s="3"/>
      <c r="T67" s="3"/>
      <c r="U67" s="3"/>
      <c r="V67" s="3"/>
      <c r="W67" s="3"/>
      <c r="X67" s="3"/>
      <c r="Y67" s="3"/>
      <c r="Z67" s="3"/>
    </row>
    <row r="68" ht="15.75" customHeight="1">
      <c r="A68" s="22"/>
      <c r="B68" s="30"/>
      <c r="C68" s="29"/>
      <c r="D68" s="24"/>
      <c r="E68" s="3"/>
      <c r="F68" s="3"/>
      <c r="G68" s="3"/>
      <c r="H68" s="3"/>
      <c r="I68" s="3"/>
      <c r="J68" s="3"/>
      <c r="K68" s="3"/>
      <c r="L68" s="3"/>
      <c r="M68" s="3"/>
      <c r="N68" s="3"/>
      <c r="O68" s="3"/>
      <c r="P68" s="3"/>
      <c r="Q68" s="3"/>
      <c r="R68" s="3"/>
      <c r="S68" s="3"/>
      <c r="T68" s="3"/>
      <c r="U68" s="3"/>
      <c r="V68" s="3"/>
      <c r="W68" s="3"/>
      <c r="X68" s="3"/>
      <c r="Y68" s="3"/>
      <c r="Z68" s="3"/>
    </row>
    <row r="69" ht="15.75" customHeight="1">
      <c r="A69" s="28"/>
      <c r="B69" s="30"/>
      <c r="C69" s="29"/>
      <c r="D69" s="22"/>
      <c r="E69" s="3"/>
      <c r="F69" s="3"/>
      <c r="G69" s="3"/>
      <c r="H69" s="3"/>
      <c r="I69" s="3"/>
      <c r="J69" s="3"/>
      <c r="K69" s="3"/>
      <c r="L69" s="3"/>
      <c r="M69" s="3"/>
      <c r="N69" s="3"/>
      <c r="O69" s="3"/>
      <c r="P69" s="3"/>
      <c r="Q69" s="3"/>
      <c r="R69" s="3"/>
      <c r="S69" s="3"/>
      <c r="T69" s="3"/>
      <c r="U69" s="3"/>
      <c r="V69" s="3"/>
      <c r="W69" s="3"/>
      <c r="X69" s="3"/>
      <c r="Y69" s="3"/>
      <c r="Z69" s="3"/>
    </row>
    <row r="70" ht="15.75" customHeight="1">
      <c r="A70" s="28"/>
      <c r="B70" s="30"/>
      <c r="C70" s="29"/>
      <c r="D70" s="45"/>
      <c r="E70" s="3"/>
      <c r="F70" s="3"/>
      <c r="G70" s="3"/>
      <c r="H70" s="3"/>
      <c r="I70" s="3"/>
      <c r="J70" s="3"/>
      <c r="K70" s="3"/>
      <c r="L70" s="3"/>
      <c r="M70" s="3"/>
      <c r="N70" s="3"/>
      <c r="O70" s="3"/>
      <c r="P70" s="3"/>
      <c r="Q70" s="3"/>
      <c r="R70" s="3"/>
      <c r="S70" s="3"/>
      <c r="T70" s="3"/>
      <c r="U70" s="3"/>
      <c r="V70" s="3"/>
      <c r="W70" s="3"/>
      <c r="X70" s="3"/>
      <c r="Y70" s="3"/>
      <c r="Z70" s="3"/>
    </row>
    <row r="71" ht="15.75" customHeight="1">
      <c r="A71" s="28"/>
      <c r="B71" s="30"/>
      <c r="C71" s="29"/>
      <c r="D71" s="45"/>
      <c r="E71" s="3"/>
      <c r="F71" s="3"/>
      <c r="G71" s="3"/>
      <c r="H71" s="3"/>
      <c r="I71" s="3"/>
      <c r="J71" s="3"/>
      <c r="K71" s="3"/>
      <c r="L71" s="3"/>
      <c r="M71" s="3"/>
      <c r="N71" s="3"/>
      <c r="O71" s="3"/>
      <c r="P71" s="3"/>
      <c r="Q71" s="3"/>
      <c r="R71" s="3"/>
      <c r="S71" s="3"/>
      <c r="T71" s="3"/>
      <c r="U71" s="3"/>
      <c r="V71" s="3"/>
      <c r="W71" s="3"/>
      <c r="X71" s="3"/>
      <c r="Y71" s="3"/>
      <c r="Z71" s="3"/>
    </row>
    <row r="72" ht="15.75" customHeight="1">
      <c r="A72" s="46"/>
      <c r="B72" s="30"/>
      <c r="C72" s="29"/>
      <c r="D72" s="45"/>
      <c r="E72" s="3"/>
      <c r="F72" s="3"/>
      <c r="G72" s="3"/>
      <c r="H72" s="3"/>
      <c r="I72" s="3"/>
      <c r="J72" s="3"/>
      <c r="K72" s="3"/>
      <c r="L72" s="3"/>
      <c r="M72" s="3"/>
      <c r="N72" s="3"/>
      <c r="O72" s="3"/>
      <c r="P72" s="3"/>
      <c r="Q72" s="3"/>
      <c r="R72" s="3"/>
      <c r="S72" s="3"/>
      <c r="T72" s="3"/>
      <c r="U72" s="3"/>
      <c r="V72" s="3"/>
      <c r="W72" s="3"/>
      <c r="X72" s="3"/>
      <c r="Y72" s="3"/>
      <c r="Z72" s="3"/>
    </row>
    <row r="73" ht="15.75" customHeight="1">
      <c r="A73" s="46"/>
      <c r="B73" s="30"/>
      <c r="C73" s="29"/>
      <c r="D73" s="45"/>
      <c r="E73" s="3"/>
      <c r="F73" s="3"/>
      <c r="G73" s="3"/>
      <c r="H73" s="3"/>
      <c r="I73" s="3"/>
      <c r="J73" s="3"/>
      <c r="K73" s="3"/>
      <c r="L73" s="3"/>
      <c r="M73" s="3"/>
      <c r="N73" s="3"/>
      <c r="O73" s="3"/>
      <c r="P73" s="3"/>
      <c r="Q73" s="3"/>
      <c r="R73" s="3"/>
      <c r="S73" s="3"/>
      <c r="T73" s="3"/>
      <c r="U73" s="3"/>
      <c r="V73" s="3"/>
      <c r="W73" s="3"/>
      <c r="X73" s="3"/>
      <c r="Y73" s="3"/>
      <c r="Z73" s="3"/>
    </row>
    <row r="74" ht="15.75" customHeight="1">
      <c r="A74" s="46"/>
      <c r="B74" s="30"/>
      <c r="C74" s="29"/>
      <c r="D74" s="45"/>
      <c r="E74" s="3"/>
      <c r="F74" s="3"/>
      <c r="G74" s="3"/>
      <c r="H74" s="3"/>
      <c r="I74" s="3"/>
      <c r="J74" s="3"/>
      <c r="K74" s="3"/>
      <c r="L74" s="3"/>
      <c r="M74" s="3"/>
      <c r="N74" s="3"/>
      <c r="O74" s="3"/>
      <c r="P74" s="3"/>
      <c r="Q74" s="3"/>
      <c r="R74" s="3"/>
      <c r="S74" s="3"/>
      <c r="T74" s="3"/>
      <c r="U74" s="3"/>
      <c r="V74" s="3"/>
      <c r="W74" s="3"/>
      <c r="X74" s="3"/>
      <c r="Y74" s="3"/>
      <c r="Z74" s="3"/>
    </row>
    <row r="75" ht="15.75" customHeight="1">
      <c r="A75" s="46"/>
      <c r="B75" s="30"/>
      <c r="C75" s="29"/>
      <c r="D75" s="45"/>
      <c r="E75" s="3"/>
      <c r="F75" s="3"/>
      <c r="G75" s="3"/>
      <c r="H75" s="3"/>
      <c r="I75" s="3"/>
      <c r="J75" s="3"/>
      <c r="K75" s="3"/>
      <c r="L75" s="3"/>
      <c r="M75" s="3"/>
      <c r="N75" s="3"/>
      <c r="O75" s="3"/>
      <c r="P75" s="3"/>
      <c r="Q75" s="3"/>
      <c r="R75" s="3"/>
      <c r="S75" s="3"/>
      <c r="T75" s="3"/>
      <c r="U75" s="3"/>
      <c r="V75" s="3"/>
      <c r="W75" s="3"/>
      <c r="X75" s="3"/>
      <c r="Y75" s="3"/>
      <c r="Z75" s="3"/>
    </row>
    <row r="76" ht="15.75" customHeight="1">
      <c r="A76" s="3"/>
      <c r="B76" s="30"/>
      <c r="C76" s="29"/>
      <c r="D76" s="3"/>
      <c r="E76" s="3"/>
      <c r="F76" s="3"/>
      <c r="G76" s="3"/>
      <c r="H76" s="3"/>
      <c r="I76" s="3"/>
      <c r="J76" s="3"/>
      <c r="K76" s="3"/>
      <c r="L76" s="3"/>
      <c r="M76" s="3"/>
      <c r="N76" s="3"/>
      <c r="O76" s="3"/>
      <c r="P76" s="3"/>
      <c r="Q76" s="3"/>
      <c r="R76" s="3"/>
      <c r="S76" s="3"/>
      <c r="T76" s="3"/>
      <c r="U76" s="3"/>
      <c r="V76" s="3"/>
      <c r="W76" s="3"/>
      <c r="X76" s="3"/>
      <c r="Y76" s="3"/>
      <c r="Z76" s="3"/>
    </row>
    <row r="77" ht="15.75" customHeight="1">
      <c r="A77" s="3"/>
      <c r="B77" s="30"/>
      <c r="C77" s="29"/>
      <c r="D77" s="3"/>
      <c r="E77" s="3"/>
      <c r="F77" s="3"/>
      <c r="G77" s="3"/>
      <c r="H77" s="3"/>
      <c r="I77" s="3"/>
      <c r="J77" s="3"/>
      <c r="K77" s="3"/>
      <c r="L77" s="3"/>
      <c r="M77" s="3"/>
      <c r="N77" s="3"/>
      <c r="O77" s="3"/>
      <c r="P77" s="3"/>
      <c r="Q77" s="3"/>
      <c r="R77" s="3"/>
      <c r="S77" s="3"/>
      <c r="T77" s="3"/>
      <c r="U77" s="3"/>
      <c r="V77" s="3"/>
      <c r="W77" s="3"/>
      <c r="X77" s="3"/>
      <c r="Y77" s="3"/>
      <c r="Z77" s="3"/>
    </row>
    <row r="78" ht="15.75" customHeight="1">
      <c r="A78" s="3"/>
      <c r="B78" s="30"/>
      <c r="C78" s="29"/>
      <c r="D78" s="3"/>
      <c r="E78" s="3"/>
      <c r="F78" s="3"/>
      <c r="G78" s="3"/>
      <c r="H78" s="3"/>
      <c r="I78" s="3"/>
      <c r="J78" s="3"/>
      <c r="K78" s="3"/>
      <c r="L78" s="3"/>
      <c r="M78" s="3"/>
      <c r="N78" s="3"/>
      <c r="O78" s="3"/>
      <c r="P78" s="3"/>
      <c r="Q78" s="3"/>
      <c r="R78" s="3"/>
      <c r="S78" s="3"/>
      <c r="T78" s="3"/>
      <c r="U78" s="3"/>
      <c r="V78" s="3"/>
      <c r="W78" s="3"/>
      <c r="X78" s="3"/>
      <c r="Y78" s="3"/>
      <c r="Z78" s="3"/>
    </row>
    <row r="79" ht="15.75" customHeight="1">
      <c r="A79" s="3"/>
      <c r="B79" s="30"/>
      <c r="C79" s="29"/>
      <c r="D79" s="3"/>
      <c r="E79" s="3"/>
      <c r="F79" s="3"/>
      <c r="G79" s="3"/>
      <c r="H79" s="3"/>
      <c r="I79" s="3"/>
      <c r="J79" s="3"/>
      <c r="K79" s="3"/>
      <c r="L79" s="3"/>
      <c r="M79" s="3"/>
      <c r="N79" s="3"/>
      <c r="O79" s="3"/>
      <c r="P79" s="3"/>
      <c r="Q79" s="3"/>
      <c r="R79" s="3"/>
      <c r="S79" s="3"/>
      <c r="T79" s="3"/>
      <c r="U79" s="3"/>
      <c r="V79" s="3"/>
      <c r="W79" s="3"/>
      <c r="X79" s="3"/>
      <c r="Y79" s="3"/>
      <c r="Z79" s="3"/>
    </row>
    <row r="80" ht="15.75" customHeight="1">
      <c r="A80" s="3"/>
      <c r="B80" s="30"/>
      <c r="C80" s="29"/>
      <c r="D80" s="3"/>
      <c r="E80" s="3"/>
      <c r="F80" s="3"/>
      <c r="G80" s="3"/>
      <c r="H80" s="3"/>
      <c r="I80" s="3"/>
      <c r="J80" s="3"/>
      <c r="K80" s="3"/>
      <c r="L80" s="3"/>
      <c r="M80" s="3"/>
      <c r="N80" s="3"/>
      <c r="O80" s="3"/>
      <c r="P80" s="3"/>
      <c r="Q80" s="3"/>
      <c r="R80" s="3"/>
      <c r="S80" s="3"/>
      <c r="T80" s="3"/>
      <c r="U80" s="3"/>
      <c r="V80" s="3"/>
      <c r="W80" s="3"/>
      <c r="X80" s="3"/>
      <c r="Y80" s="3"/>
      <c r="Z80" s="3"/>
    </row>
    <row r="81" ht="15.75" customHeight="1">
      <c r="A81" s="3"/>
      <c r="B81" s="30"/>
      <c r="C81" s="29"/>
      <c r="D81" s="3"/>
      <c r="E81" s="3"/>
      <c r="F81" s="3"/>
      <c r="G81" s="3"/>
      <c r="H81" s="3"/>
      <c r="I81" s="3"/>
      <c r="J81" s="3"/>
      <c r="K81" s="3"/>
      <c r="L81" s="3"/>
      <c r="M81" s="3"/>
      <c r="N81" s="3"/>
      <c r="O81" s="3"/>
      <c r="P81" s="3"/>
      <c r="Q81" s="3"/>
      <c r="R81" s="3"/>
      <c r="S81" s="3"/>
      <c r="T81" s="3"/>
      <c r="U81" s="3"/>
      <c r="V81" s="3"/>
      <c r="W81" s="3"/>
      <c r="X81" s="3"/>
      <c r="Y81" s="3"/>
      <c r="Z81" s="3"/>
    </row>
    <row r="82" ht="15.75" customHeight="1">
      <c r="A82" s="3"/>
      <c r="B82" s="30"/>
      <c r="C82" s="29"/>
      <c r="D82" s="3"/>
      <c r="E82" s="3"/>
      <c r="F82" s="3"/>
      <c r="G82" s="3"/>
      <c r="H82" s="3"/>
      <c r="I82" s="3"/>
      <c r="J82" s="3"/>
      <c r="K82" s="3"/>
      <c r="L82" s="3"/>
      <c r="M82" s="3"/>
      <c r="N82" s="3"/>
      <c r="O82" s="3"/>
      <c r="P82" s="3"/>
      <c r="Q82" s="3"/>
      <c r="R82" s="3"/>
      <c r="S82" s="3"/>
      <c r="T82" s="3"/>
      <c r="U82" s="3"/>
      <c r="V82" s="3"/>
      <c r="W82" s="3"/>
      <c r="X82" s="3"/>
      <c r="Y82" s="3"/>
      <c r="Z82" s="3"/>
    </row>
    <row r="83" ht="15.75" customHeight="1">
      <c r="A83" s="3"/>
      <c r="B83" s="30"/>
      <c r="C83" s="29"/>
      <c r="D83" s="3"/>
      <c r="E83" s="3"/>
      <c r="F83" s="3"/>
      <c r="G83" s="3"/>
      <c r="H83" s="3"/>
      <c r="I83" s="3"/>
      <c r="J83" s="3"/>
      <c r="K83" s="3"/>
      <c r="L83" s="3"/>
      <c r="M83" s="3"/>
      <c r="N83" s="3"/>
      <c r="O83" s="3"/>
      <c r="P83" s="3"/>
      <c r="Q83" s="3"/>
      <c r="R83" s="3"/>
      <c r="S83" s="3"/>
      <c r="T83" s="3"/>
      <c r="U83" s="3"/>
      <c r="V83" s="3"/>
      <c r="W83" s="3"/>
      <c r="X83" s="3"/>
      <c r="Y83" s="3"/>
      <c r="Z83" s="3"/>
    </row>
    <row r="84" ht="15.75" customHeight="1">
      <c r="A84" s="3"/>
      <c r="B84" s="30"/>
      <c r="C84" s="29"/>
      <c r="D84" s="3"/>
      <c r="E84" s="3"/>
      <c r="F84" s="3"/>
      <c r="G84" s="3"/>
      <c r="H84" s="3"/>
      <c r="I84" s="3"/>
      <c r="J84" s="3"/>
      <c r="K84" s="3"/>
      <c r="L84" s="3"/>
      <c r="M84" s="3"/>
      <c r="N84" s="3"/>
      <c r="O84" s="3"/>
      <c r="P84" s="3"/>
      <c r="Q84" s="3"/>
      <c r="R84" s="3"/>
      <c r="S84" s="3"/>
      <c r="T84" s="3"/>
      <c r="U84" s="3"/>
      <c r="V84" s="3"/>
      <c r="W84" s="3"/>
      <c r="X84" s="3"/>
      <c r="Y84" s="3"/>
      <c r="Z84" s="3"/>
    </row>
    <row r="85" ht="15.75" customHeight="1">
      <c r="A85" s="3"/>
      <c r="B85" s="30"/>
      <c r="C85" s="29"/>
      <c r="D85" s="3"/>
      <c r="E85" s="3"/>
      <c r="F85" s="3"/>
      <c r="G85" s="3"/>
      <c r="H85" s="3"/>
      <c r="I85" s="3"/>
      <c r="J85" s="3"/>
      <c r="K85" s="3"/>
      <c r="L85" s="3"/>
      <c r="M85" s="3"/>
      <c r="N85" s="3"/>
      <c r="O85" s="3"/>
      <c r="P85" s="3"/>
      <c r="Q85" s="3"/>
      <c r="R85" s="3"/>
      <c r="S85" s="3"/>
      <c r="T85" s="3"/>
      <c r="U85" s="3"/>
      <c r="V85" s="3"/>
      <c r="W85" s="3"/>
      <c r="X85" s="3"/>
      <c r="Y85" s="3"/>
      <c r="Z85" s="3"/>
    </row>
    <row r="86" ht="15.75" customHeight="1">
      <c r="A86" s="3"/>
      <c r="B86" s="2"/>
      <c r="C86" s="3"/>
      <c r="D86" s="3"/>
      <c r="E86" s="3"/>
      <c r="F86" s="3"/>
      <c r="G86" s="3"/>
      <c r="H86" s="3"/>
      <c r="I86" s="3"/>
      <c r="J86" s="3"/>
      <c r="K86" s="3"/>
      <c r="L86" s="3"/>
      <c r="M86" s="3"/>
      <c r="N86" s="3"/>
      <c r="O86" s="3"/>
      <c r="P86" s="3"/>
      <c r="Q86" s="3"/>
      <c r="R86" s="3"/>
      <c r="S86" s="3"/>
      <c r="T86" s="3"/>
      <c r="U86" s="3"/>
      <c r="V86" s="3"/>
      <c r="W86" s="3"/>
      <c r="X86" s="3"/>
      <c r="Y86" s="3"/>
      <c r="Z86" s="3"/>
    </row>
    <row r="87" ht="15.75" customHeight="1">
      <c r="A87" s="3"/>
      <c r="B87" s="2"/>
      <c r="C87" s="3"/>
      <c r="D87" s="3"/>
      <c r="E87" s="3"/>
      <c r="F87" s="3"/>
      <c r="G87" s="3"/>
      <c r="H87" s="3"/>
      <c r="I87" s="3"/>
      <c r="J87" s="3"/>
      <c r="K87" s="3"/>
      <c r="L87" s="3"/>
      <c r="M87" s="3"/>
      <c r="N87" s="3"/>
      <c r="O87" s="3"/>
      <c r="P87" s="3"/>
      <c r="Q87" s="3"/>
      <c r="R87" s="3"/>
      <c r="S87" s="3"/>
      <c r="T87" s="3"/>
      <c r="U87" s="3"/>
      <c r="V87" s="3"/>
      <c r="W87" s="3"/>
      <c r="X87" s="3"/>
      <c r="Y87" s="3"/>
      <c r="Z87" s="3"/>
    </row>
    <row r="88" ht="15.75" customHeight="1">
      <c r="A88" s="3"/>
      <c r="B88" s="2"/>
      <c r="C88" s="3"/>
      <c r="D88" s="3"/>
      <c r="E88" s="3"/>
      <c r="F88" s="3"/>
      <c r="G88" s="3"/>
      <c r="H88" s="3"/>
      <c r="I88" s="3"/>
      <c r="J88" s="3"/>
      <c r="K88" s="3"/>
      <c r="L88" s="3"/>
      <c r="M88" s="3"/>
      <c r="N88" s="3"/>
      <c r="O88" s="3"/>
      <c r="P88" s="3"/>
      <c r="Q88" s="3"/>
      <c r="R88" s="3"/>
      <c r="S88" s="3"/>
      <c r="T88" s="3"/>
      <c r="U88" s="3"/>
      <c r="V88" s="3"/>
      <c r="W88" s="3"/>
      <c r="X88" s="3"/>
      <c r="Y88" s="3"/>
      <c r="Z88" s="3"/>
    </row>
    <row r="89" ht="15.75" customHeight="1">
      <c r="A89" s="3"/>
      <c r="B89" s="2"/>
      <c r="C89" s="3"/>
      <c r="D89" s="3"/>
      <c r="E89" s="3"/>
      <c r="F89" s="3"/>
      <c r="G89" s="3"/>
      <c r="H89" s="3"/>
      <c r="I89" s="3"/>
      <c r="J89" s="3"/>
      <c r="K89" s="3"/>
      <c r="L89" s="3"/>
      <c r="M89" s="3"/>
      <c r="N89" s="3"/>
      <c r="O89" s="3"/>
      <c r="P89" s="3"/>
      <c r="Q89" s="3"/>
      <c r="R89" s="3"/>
      <c r="S89" s="3"/>
      <c r="T89" s="3"/>
      <c r="U89" s="3"/>
      <c r="V89" s="3"/>
      <c r="W89" s="3"/>
      <c r="X89" s="3"/>
      <c r="Y89" s="3"/>
      <c r="Z89" s="3"/>
    </row>
    <row r="90" ht="15.75" customHeight="1">
      <c r="A90" s="3"/>
      <c r="B90" s="2"/>
      <c r="C90" s="3"/>
      <c r="D90" s="3"/>
      <c r="E90" s="3"/>
      <c r="F90" s="3"/>
      <c r="G90" s="3"/>
      <c r="H90" s="3"/>
      <c r="I90" s="3"/>
      <c r="J90" s="3"/>
      <c r="K90" s="3"/>
      <c r="L90" s="3"/>
      <c r="M90" s="3"/>
      <c r="N90" s="3"/>
      <c r="O90" s="3"/>
      <c r="P90" s="3"/>
      <c r="Q90" s="3"/>
      <c r="R90" s="3"/>
      <c r="S90" s="3"/>
      <c r="T90" s="3"/>
      <c r="U90" s="3"/>
      <c r="V90" s="3"/>
      <c r="W90" s="3"/>
      <c r="X90" s="3"/>
      <c r="Y90" s="3"/>
      <c r="Z90" s="3"/>
    </row>
    <row r="91" ht="15.75" customHeight="1">
      <c r="A91" s="3"/>
      <c r="B91" s="2"/>
      <c r="C91" s="3"/>
      <c r="D91" s="3"/>
      <c r="E91" s="3"/>
      <c r="F91" s="3"/>
      <c r="G91" s="3"/>
      <c r="H91" s="3"/>
      <c r="I91" s="3"/>
      <c r="J91" s="3"/>
      <c r="K91" s="3"/>
      <c r="L91" s="3"/>
      <c r="M91" s="3"/>
      <c r="N91" s="3"/>
      <c r="O91" s="3"/>
      <c r="P91" s="3"/>
      <c r="Q91" s="3"/>
      <c r="R91" s="3"/>
      <c r="S91" s="3"/>
      <c r="T91" s="3"/>
      <c r="U91" s="3"/>
      <c r="V91" s="3"/>
      <c r="W91" s="3"/>
      <c r="X91" s="3"/>
      <c r="Y91" s="3"/>
      <c r="Z91" s="3"/>
    </row>
    <row r="92" ht="15.75" customHeight="1">
      <c r="A92" s="3"/>
      <c r="B92" s="2"/>
      <c r="C92" s="3"/>
      <c r="D92" s="3"/>
      <c r="E92" s="3"/>
      <c r="F92" s="3"/>
      <c r="G92" s="3"/>
      <c r="H92" s="3"/>
      <c r="I92" s="3"/>
      <c r="J92" s="3"/>
      <c r="K92" s="3"/>
      <c r="L92" s="3"/>
      <c r="M92" s="3"/>
      <c r="N92" s="3"/>
      <c r="O92" s="3"/>
      <c r="P92" s="3"/>
      <c r="Q92" s="3"/>
      <c r="R92" s="3"/>
      <c r="S92" s="3"/>
      <c r="T92" s="3"/>
      <c r="U92" s="3"/>
      <c r="V92" s="3"/>
      <c r="W92" s="3"/>
      <c r="X92" s="3"/>
      <c r="Y92" s="3"/>
      <c r="Z92" s="3"/>
    </row>
    <row r="93" ht="15.75" customHeight="1">
      <c r="A93" s="3"/>
      <c r="B93" s="2"/>
      <c r="C93" s="3"/>
      <c r="D93" s="3"/>
      <c r="E93" s="3"/>
      <c r="F93" s="3"/>
      <c r="G93" s="3"/>
      <c r="H93" s="3"/>
      <c r="I93" s="3"/>
      <c r="J93" s="3"/>
      <c r="K93" s="3"/>
      <c r="L93" s="3"/>
      <c r="M93" s="3"/>
      <c r="N93" s="3"/>
      <c r="O93" s="3"/>
      <c r="P93" s="3"/>
      <c r="Q93" s="3"/>
      <c r="R93" s="3"/>
      <c r="S93" s="3"/>
      <c r="T93" s="3"/>
      <c r="U93" s="3"/>
      <c r="V93" s="3"/>
      <c r="W93" s="3"/>
      <c r="X93" s="3"/>
      <c r="Y93" s="3"/>
      <c r="Z93" s="3"/>
    </row>
    <row r="94" ht="15.75" customHeight="1">
      <c r="A94" s="3"/>
      <c r="B94" s="2"/>
      <c r="C94" s="3"/>
      <c r="D94" s="3"/>
      <c r="E94" s="3"/>
      <c r="F94" s="3"/>
      <c r="G94" s="3"/>
      <c r="H94" s="3"/>
      <c r="I94" s="3"/>
      <c r="J94" s="3"/>
      <c r="K94" s="3"/>
      <c r="L94" s="3"/>
      <c r="M94" s="3"/>
      <c r="N94" s="3"/>
      <c r="O94" s="3"/>
      <c r="P94" s="3"/>
      <c r="Q94" s="3"/>
      <c r="R94" s="3"/>
      <c r="S94" s="3"/>
      <c r="T94" s="3"/>
      <c r="U94" s="3"/>
      <c r="V94" s="3"/>
      <c r="W94" s="3"/>
      <c r="X94" s="3"/>
      <c r="Y94" s="3"/>
      <c r="Z94" s="3"/>
    </row>
    <row r="95" ht="15.75" customHeight="1">
      <c r="A95" s="3"/>
      <c r="B95" s="2"/>
      <c r="C95" s="3"/>
      <c r="D95" s="3"/>
      <c r="E95" s="3"/>
      <c r="F95" s="3"/>
      <c r="G95" s="3"/>
      <c r="H95" s="3"/>
      <c r="I95" s="3"/>
      <c r="J95" s="3"/>
      <c r="K95" s="3"/>
      <c r="L95" s="3"/>
      <c r="M95" s="3"/>
      <c r="N95" s="3"/>
      <c r="O95" s="3"/>
      <c r="P95" s="3"/>
      <c r="Q95" s="3"/>
      <c r="R95" s="3"/>
      <c r="S95" s="3"/>
      <c r="T95" s="3"/>
      <c r="U95" s="3"/>
      <c r="V95" s="3"/>
      <c r="W95" s="3"/>
      <c r="X95" s="3"/>
      <c r="Y95" s="3"/>
      <c r="Z95" s="3"/>
    </row>
    <row r="96" ht="15.75" customHeight="1">
      <c r="A96" s="3"/>
      <c r="B96" s="2"/>
      <c r="C96" s="3"/>
      <c r="D96" s="3"/>
      <c r="E96" s="3"/>
      <c r="F96" s="3"/>
      <c r="G96" s="3"/>
      <c r="H96" s="3"/>
      <c r="I96" s="3"/>
      <c r="J96" s="3"/>
      <c r="K96" s="3"/>
      <c r="L96" s="3"/>
      <c r="M96" s="3"/>
      <c r="N96" s="3"/>
      <c r="O96" s="3"/>
      <c r="P96" s="3"/>
      <c r="Q96" s="3"/>
      <c r="R96" s="3"/>
      <c r="S96" s="3"/>
      <c r="T96" s="3"/>
      <c r="U96" s="3"/>
      <c r="V96" s="3"/>
      <c r="W96" s="3"/>
      <c r="X96" s="3"/>
      <c r="Y96" s="3"/>
      <c r="Z96" s="3"/>
    </row>
    <row r="97" ht="15.75" customHeight="1">
      <c r="A97" s="3"/>
      <c r="B97" s="2"/>
      <c r="C97" s="3"/>
      <c r="D97" s="3"/>
      <c r="E97" s="3"/>
      <c r="F97" s="3"/>
      <c r="G97" s="3"/>
      <c r="H97" s="3"/>
      <c r="I97" s="3"/>
      <c r="J97" s="3"/>
      <c r="K97" s="3"/>
      <c r="L97" s="3"/>
      <c r="M97" s="3"/>
      <c r="N97" s="3"/>
      <c r="O97" s="3"/>
      <c r="P97" s="3"/>
      <c r="Q97" s="3"/>
      <c r="R97" s="3"/>
      <c r="S97" s="3"/>
      <c r="T97" s="3"/>
      <c r="U97" s="3"/>
      <c r="V97" s="3"/>
      <c r="W97" s="3"/>
      <c r="X97" s="3"/>
      <c r="Y97" s="3"/>
      <c r="Z97" s="3"/>
    </row>
    <row r="98" ht="15.75" customHeight="1">
      <c r="A98" s="3"/>
      <c r="B98" s="2"/>
      <c r="C98" s="3"/>
      <c r="D98" s="3"/>
      <c r="E98" s="3"/>
      <c r="F98" s="3"/>
      <c r="G98" s="3"/>
      <c r="H98" s="3"/>
      <c r="I98" s="3"/>
      <c r="J98" s="3"/>
      <c r="K98" s="3"/>
      <c r="L98" s="3"/>
      <c r="M98" s="3"/>
      <c r="N98" s="3"/>
      <c r="O98" s="3"/>
      <c r="P98" s="3"/>
      <c r="Q98" s="3"/>
      <c r="R98" s="3"/>
      <c r="S98" s="3"/>
      <c r="T98" s="3"/>
      <c r="U98" s="3"/>
      <c r="V98" s="3"/>
      <c r="W98" s="3"/>
      <c r="X98" s="3"/>
      <c r="Y98" s="3"/>
      <c r="Z98" s="3"/>
    </row>
    <row r="99" ht="15.75" customHeight="1">
      <c r="A99" s="3"/>
      <c r="B99" s="2"/>
      <c r="C99" s="3"/>
      <c r="D99" s="3"/>
      <c r="E99" s="3"/>
      <c r="F99" s="3"/>
      <c r="G99" s="3"/>
      <c r="H99" s="3"/>
      <c r="I99" s="3"/>
      <c r="J99" s="3"/>
      <c r="K99" s="3"/>
      <c r="L99" s="3"/>
      <c r="M99" s="3"/>
      <c r="N99" s="3"/>
      <c r="O99" s="3"/>
      <c r="P99" s="3"/>
      <c r="Q99" s="3"/>
      <c r="R99" s="3"/>
      <c r="S99" s="3"/>
      <c r="T99" s="3"/>
      <c r="U99" s="3"/>
      <c r="V99" s="3"/>
      <c r="W99" s="3"/>
      <c r="X99" s="3"/>
      <c r="Y99" s="3"/>
      <c r="Z99" s="3"/>
    </row>
    <row r="100" ht="15.75" customHeight="1">
      <c r="A100" s="3"/>
      <c r="B100" s="2"/>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3"/>
      <c r="B101" s="2"/>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3"/>
      <c r="B102" s="2"/>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3"/>
      <c r="B103" s="2"/>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3"/>
      <c r="B104" s="2"/>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3"/>
      <c r="B105" s="2"/>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3"/>
      <c r="B106" s="2"/>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3"/>
      <c r="B107" s="2"/>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3"/>
      <c r="B108" s="2"/>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3"/>
      <c r="B109" s="2"/>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3"/>
      <c r="B110" s="2"/>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3"/>
      <c r="B111" s="2"/>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3"/>
      <c r="B112" s="2"/>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3"/>
      <c r="B113" s="2"/>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3"/>
      <c r="B114" s="2"/>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3"/>
      <c r="B115" s="2"/>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3"/>
      <c r="B116" s="2"/>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3"/>
      <c r="B117" s="2"/>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3"/>
      <c r="B118" s="2"/>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3"/>
      <c r="B119" s="2"/>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3"/>
      <c r="B120" s="2"/>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3"/>
      <c r="B121" s="2"/>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3"/>
      <c r="B122" s="2"/>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3"/>
      <c r="B123" s="2"/>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3"/>
      <c r="B124" s="2"/>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3"/>
      <c r="B125" s="2"/>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3"/>
      <c r="B126" s="2"/>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3"/>
      <c r="B127" s="2"/>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3"/>
      <c r="B128" s="2"/>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3"/>
      <c r="B129" s="2"/>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3"/>
      <c r="B130" s="2"/>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3"/>
      <c r="B131" s="2"/>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3"/>
      <c r="B132" s="2"/>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3"/>
      <c r="B133" s="2"/>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3"/>
      <c r="B134" s="2"/>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3"/>
      <c r="B135" s="2"/>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3"/>
      <c r="B136" s="2"/>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3"/>
      <c r="B137" s="2"/>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3"/>
      <c r="B138" s="2"/>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3"/>
      <c r="B139" s="2"/>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3"/>
      <c r="B140" s="2"/>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3"/>
      <c r="B141" s="2"/>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3"/>
      <c r="B142" s="2"/>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3"/>
      <c r="B143" s="2"/>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3"/>
      <c r="B144" s="2"/>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3"/>
      <c r="B145" s="2"/>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3"/>
      <c r="B146" s="2"/>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3"/>
      <c r="B147" s="2"/>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3"/>
      <c r="B148" s="2"/>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3"/>
      <c r="B149" s="2"/>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3"/>
      <c r="B150" s="2"/>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3"/>
      <c r="B151" s="2"/>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3"/>
      <c r="B152" s="2"/>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3"/>
      <c r="B153" s="2"/>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3"/>
      <c r="B154" s="2"/>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3"/>
      <c r="B155" s="2"/>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3"/>
      <c r="B156" s="2"/>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3"/>
      <c r="B157" s="2"/>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3"/>
      <c r="B158" s="2"/>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3"/>
      <c r="B159" s="2"/>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3"/>
      <c r="B160" s="2"/>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3"/>
      <c r="B161" s="2"/>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3"/>
      <c r="B162" s="2"/>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3"/>
      <c r="B163" s="2"/>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3"/>
      <c r="B164" s="2"/>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
      <c r="B165" s="2"/>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3"/>
      <c r="B166" s="2"/>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3"/>
      <c r="B167" s="2"/>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3"/>
      <c r="B168" s="2"/>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3"/>
      <c r="B169" s="2"/>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3"/>
      <c r="B170" s="2"/>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3"/>
      <c r="B171" s="2"/>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3"/>
      <c r="B172" s="2"/>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3"/>
      <c r="B173" s="2"/>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
      <c r="B174" s="2"/>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3"/>
      <c r="B175" s="2"/>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3"/>
      <c r="B176" s="2"/>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3"/>
      <c r="B177" s="2"/>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3"/>
      <c r="B178" s="2"/>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3"/>
      <c r="B179" s="2"/>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3"/>
      <c r="B180" s="2"/>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3"/>
      <c r="B181" s="2"/>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3"/>
      <c r="B182" s="2"/>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3"/>
      <c r="B183" s="2"/>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3"/>
      <c r="B184" s="2"/>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3"/>
      <c r="B185" s="2"/>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3"/>
      <c r="B186" s="2"/>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3"/>
      <c r="B187" s="2"/>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3"/>
      <c r="B188" s="2"/>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3"/>
      <c r="B189" s="2"/>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3"/>
      <c r="B190" s="2"/>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3"/>
      <c r="B191" s="2"/>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3"/>
      <c r="B192" s="2"/>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3"/>
      <c r="B193" s="2"/>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3"/>
      <c r="B194" s="2"/>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
      <c r="B195" s="2"/>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3"/>
      <c r="B196" s="2"/>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3"/>
      <c r="B197" s="2"/>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3"/>
      <c r="B198" s="2"/>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3"/>
      <c r="B199" s="2"/>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3"/>
      <c r="B200" s="2"/>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3"/>
      <c r="B201" s="2"/>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3"/>
      <c r="B202" s="2"/>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3"/>
      <c r="B203" s="2"/>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3"/>
      <c r="B204" s="2"/>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3"/>
      <c r="B205" s="2"/>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3"/>
      <c r="B206" s="2"/>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3"/>
      <c r="B207" s="2"/>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3"/>
      <c r="B208" s="2"/>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3"/>
      <c r="B209" s="2"/>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3"/>
      <c r="B210" s="2"/>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3"/>
      <c r="B211" s="2"/>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3"/>
      <c r="B212" s="2"/>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3"/>
      <c r="B213" s="2"/>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3"/>
      <c r="B214" s="2"/>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3"/>
      <c r="B215" s="2"/>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3"/>
      <c r="B216" s="2"/>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3"/>
      <c r="B217" s="2"/>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3"/>
      <c r="B218" s="2"/>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3"/>
      <c r="B219" s="2"/>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c r="B220" s="2"/>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3"/>
      <c r="B221" s="2"/>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2"/>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2"/>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2"/>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2"/>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2"/>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2"/>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2"/>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2"/>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2"/>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2"/>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2"/>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2"/>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2"/>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2"/>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2"/>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2"/>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2"/>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2"/>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2"/>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2"/>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2"/>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2"/>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2"/>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2"/>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2"/>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2"/>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2"/>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2"/>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2"/>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2"/>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2"/>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2"/>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2"/>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2"/>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2"/>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2"/>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2"/>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2"/>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2"/>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2"/>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2"/>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2"/>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2"/>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2"/>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2"/>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2"/>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2"/>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2"/>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2"/>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2"/>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2"/>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2"/>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2"/>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2"/>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2"/>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2"/>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2"/>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2"/>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2"/>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2"/>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2"/>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2"/>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2"/>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2"/>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2"/>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2"/>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2"/>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2"/>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2"/>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2"/>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2"/>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2"/>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2"/>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2"/>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2"/>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2"/>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2"/>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2"/>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2"/>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2"/>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2"/>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2"/>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2"/>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2"/>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2"/>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2"/>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2"/>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2"/>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2"/>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2"/>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2"/>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2"/>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2"/>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2"/>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2"/>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2"/>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2"/>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2"/>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2"/>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2"/>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2"/>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2"/>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2"/>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2"/>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2"/>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2"/>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2"/>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2"/>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2"/>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2"/>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2"/>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2"/>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2"/>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2"/>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2"/>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2"/>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2"/>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2"/>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2"/>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2"/>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2"/>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2"/>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2"/>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2"/>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2"/>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2"/>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2"/>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2"/>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2"/>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2"/>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2"/>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2"/>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2"/>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2"/>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2"/>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2"/>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2"/>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2"/>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2"/>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2"/>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2"/>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2"/>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2"/>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2"/>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2"/>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2"/>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2"/>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2"/>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2"/>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2"/>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2"/>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2"/>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2"/>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2"/>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2"/>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2"/>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2"/>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2"/>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2"/>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2"/>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2"/>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2"/>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2"/>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2"/>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2"/>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2"/>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2"/>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2"/>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2"/>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2"/>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2"/>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2"/>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2"/>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2"/>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2"/>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2"/>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2"/>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2"/>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2"/>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2"/>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2"/>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2"/>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2"/>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2"/>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2"/>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2"/>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2"/>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2"/>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2"/>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2"/>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2"/>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2"/>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2"/>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2"/>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2"/>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2"/>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2"/>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2"/>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2"/>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2"/>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2"/>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2"/>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2"/>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2"/>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2"/>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2"/>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2"/>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2"/>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2"/>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2"/>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2"/>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2"/>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2"/>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2"/>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2"/>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2"/>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2"/>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2"/>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2"/>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2"/>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2"/>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2"/>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2"/>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2"/>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2"/>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2"/>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2"/>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2"/>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2"/>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2"/>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2"/>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2"/>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2"/>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2"/>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2"/>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2"/>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2"/>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2"/>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2"/>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2"/>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2"/>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2"/>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2"/>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2"/>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2"/>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2"/>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2"/>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2"/>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2"/>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2"/>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2"/>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2"/>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2"/>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2"/>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2"/>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2"/>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2"/>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2"/>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2"/>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2"/>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2"/>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2"/>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2"/>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2"/>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2"/>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2"/>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2"/>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2"/>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2"/>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2"/>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2"/>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2"/>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2"/>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2"/>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2"/>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2"/>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2"/>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2"/>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2"/>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2"/>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2"/>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2"/>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2"/>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2"/>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2"/>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2"/>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2"/>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2"/>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2"/>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2"/>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2"/>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2"/>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2"/>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2"/>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2"/>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2"/>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2"/>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2"/>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2"/>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2"/>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2"/>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2"/>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2"/>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2"/>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2"/>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2"/>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2"/>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2"/>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2"/>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2"/>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2"/>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2"/>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2"/>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2"/>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2"/>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2"/>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2"/>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2"/>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2"/>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2"/>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2"/>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2"/>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2"/>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2"/>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2"/>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2"/>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2"/>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2"/>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2"/>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2"/>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2"/>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2"/>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2"/>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2"/>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2"/>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2"/>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2"/>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2"/>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2"/>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2"/>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2"/>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2"/>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2"/>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2"/>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2"/>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2"/>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2"/>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2"/>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2"/>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2"/>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2"/>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2"/>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2"/>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2"/>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2"/>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2"/>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2"/>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2"/>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2"/>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2"/>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2"/>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2"/>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2"/>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2"/>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2"/>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2"/>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2"/>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2"/>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2"/>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2"/>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2"/>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2"/>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2"/>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2"/>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2"/>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2"/>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2"/>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2"/>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2"/>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2"/>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2"/>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2"/>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2"/>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2"/>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2"/>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2"/>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2"/>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2"/>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2"/>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2"/>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2"/>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2"/>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2"/>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2"/>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2"/>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2"/>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2"/>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2"/>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2"/>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2"/>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2"/>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2"/>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2"/>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2"/>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2"/>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2"/>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2"/>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2"/>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2"/>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2"/>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2"/>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2"/>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2"/>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2"/>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2"/>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2"/>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2"/>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2"/>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2"/>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2"/>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2"/>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2"/>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2"/>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2"/>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2"/>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2"/>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2"/>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2"/>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2"/>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2"/>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2"/>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2"/>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2"/>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2"/>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2"/>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2"/>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2"/>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2"/>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2"/>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2"/>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2"/>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2"/>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2"/>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2"/>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2"/>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2"/>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2"/>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2"/>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2"/>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2"/>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2"/>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2"/>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2"/>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2"/>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2"/>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2"/>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2"/>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2"/>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2"/>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2"/>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2"/>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2"/>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2"/>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2"/>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2"/>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2"/>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2"/>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2"/>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2"/>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2"/>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2"/>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2"/>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2"/>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2"/>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2"/>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2"/>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2"/>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2"/>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2"/>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2"/>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2"/>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2"/>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2"/>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2"/>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2"/>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2"/>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2"/>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2"/>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2"/>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2"/>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2"/>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2"/>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2"/>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2"/>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2"/>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2"/>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2"/>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2"/>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2"/>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2"/>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2"/>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2"/>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2"/>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2"/>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2"/>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2"/>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2"/>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2"/>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2"/>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2"/>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2"/>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2"/>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2"/>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2"/>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2"/>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2"/>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2"/>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2"/>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2"/>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2"/>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2"/>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2"/>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2"/>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2"/>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2"/>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2"/>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2"/>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2"/>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2"/>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2"/>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2"/>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2"/>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2"/>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2"/>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2"/>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2"/>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2"/>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2"/>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2"/>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2"/>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2"/>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2"/>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2"/>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2"/>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2"/>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2"/>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2"/>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2"/>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2"/>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2"/>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2"/>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2"/>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2"/>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2"/>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2"/>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2"/>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2"/>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2"/>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2"/>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2"/>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2"/>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2"/>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2"/>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2"/>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2"/>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2"/>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2"/>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2"/>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2"/>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2"/>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2"/>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2"/>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2"/>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2"/>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2"/>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2"/>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2"/>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2"/>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2"/>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2"/>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2"/>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2"/>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2"/>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2"/>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2"/>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2"/>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2"/>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2"/>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2"/>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2"/>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2"/>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2"/>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2"/>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2"/>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2"/>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2"/>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2"/>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2"/>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2"/>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2"/>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2"/>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2"/>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2"/>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2"/>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2"/>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2"/>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2"/>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2"/>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2"/>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2"/>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2"/>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2"/>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2"/>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2"/>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2"/>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2"/>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2"/>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2"/>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2"/>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2"/>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2"/>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2"/>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2"/>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2"/>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2"/>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2"/>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2"/>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2"/>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2"/>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2"/>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2"/>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2"/>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2"/>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2"/>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2"/>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2"/>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2"/>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2"/>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2"/>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2"/>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2"/>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2"/>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2"/>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2"/>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2"/>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2"/>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2"/>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2"/>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2"/>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2"/>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2"/>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2"/>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2"/>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2"/>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2"/>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2"/>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2"/>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2"/>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2"/>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2"/>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2"/>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2"/>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2"/>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2"/>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2"/>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2"/>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2"/>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2"/>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2"/>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2"/>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2"/>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2"/>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2"/>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2"/>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2"/>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2"/>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2"/>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2"/>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2"/>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2"/>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2"/>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2"/>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2"/>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2"/>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2"/>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2"/>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2"/>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2"/>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2"/>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2"/>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2"/>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2"/>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2"/>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2"/>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2"/>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2"/>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2"/>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2"/>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2"/>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2"/>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2"/>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2"/>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2"/>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2"/>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2"/>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2"/>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2"/>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2"/>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2"/>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2"/>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2"/>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2"/>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2"/>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2"/>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2"/>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2"/>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2"/>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2"/>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2"/>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2"/>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2"/>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2"/>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2"/>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2"/>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2"/>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2"/>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2"/>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2"/>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2"/>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2"/>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2"/>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2"/>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2"/>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2"/>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2"/>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2"/>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2"/>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2"/>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2"/>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2"/>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2"/>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2"/>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2"/>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2"/>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2"/>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2"/>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2"/>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2"/>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2"/>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2"/>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2"/>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2"/>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2"/>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2"/>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2"/>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2"/>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2"/>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2"/>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2"/>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2"/>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2"/>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2"/>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2"/>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2"/>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2"/>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2"/>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2"/>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2"/>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2"/>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2"/>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2"/>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2"/>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2"/>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2"/>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2"/>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2"/>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2"/>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2"/>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2"/>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ht="15.75" customHeight="1">
      <c r="A1001" s="3"/>
      <c r="B1001" s="2"/>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printOptions/>
  <pageMargins bottom="1.0" footer="0.0" header="0.0" left="0.75" right="0.75" top="1.0"/>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2.57"/>
    <col customWidth="1" min="2" max="2" width="33.71"/>
  </cols>
  <sheetData>
    <row r="1">
      <c r="A1" s="47"/>
      <c r="F1" s="47"/>
    </row>
    <row r="2">
      <c r="A2" s="48" t="s">
        <v>96</v>
      </c>
    </row>
    <row r="3">
      <c r="F3" s="47"/>
    </row>
    <row r="4">
      <c r="A4" s="49" t="s">
        <v>97</v>
      </c>
      <c r="F4" s="47"/>
    </row>
    <row r="5">
      <c r="A5" s="48" t="s">
        <v>98</v>
      </c>
      <c r="F5" s="47"/>
    </row>
    <row r="6">
      <c r="A6" s="48" t="s">
        <v>99</v>
      </c>
      <c r="F6" s="47"/>
    </row>
    <row r="7">
      <c r="A7" s="48" t="s">
        <v>100</v>
      </c>
      <c r="C7" s="50"/>
      <c r="F7" s="47"/>
    </row>
    <row r="8">
      <c r="A8" s="48" t="s">
        <v>101</v>
      </c>
      <c r="F8" s="47"/>
    </row>
    <row r="9">
      <c r="A9" s="48" t="s">
        <v>102</v>
      </c>
      <c r="F9" s="47"/>
    </row>
    <row r="10">
      <c r="A10" s="48" t="s">
        <v>103</v>
      </c>
      <c r="F10" s="47"/>
    </row>
    <row r="11">
      <c r="A11" s="48"/>
      <c r="F11" s="47"/>
    </row>
    <row r="12">
      <c r="F12" s="47"/>
    </row>
    <row r="13">
      <c r="A13" s="49">
        <v>40000.0</v>
      </c>
      <c r="F13" s="47"/>
    </row>
    <row r="14">
      <c r="B14" s="48"/>
      <c r="F14" s="47"/>
    </row>
    <row r="16">
      <c r="F16" s="47"/>
    </row>
    <row r="17">
      <c r="F17" s="47"/>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57"/>
    <col customWidth="1" min="2" max="6" width="9.0"/>
  </cols>
  <sheetData>
    <row r="1" ht="15.75" customHeight="1"/>
    <row r="2" ht="15.75" customHeight="1">
      <c r="A2" s="51"/>
    </row>
    <row r="3" ht="15.75" customHeight="1">
      <c r="A3" s="52" t="s">
        <v>104</v>
      </c>
      <c r="B3" s="53" t="s">
        <v>105</v>
      </c>
      <c r="C3" s="53" t="s">
        <v>106</v>
      </c>
      <c r="D3" s="53" t="s">
        <v>107</v>
      </c>
    </row>
    <row r="4" ht="15.75" customHeight="1">
      <c r="A4" s="52" t="s">
        <v>108</v>
      </c>
      <c r="B4" s="53">
        <v>400.0</v>
      </c>
      <c r="C4" s="54">
        <v>650.0</v>
      </c>
      <c r="D4" s="53">
        <f t="shared" ref="D4:D5" si="1">B4*C4</f>
        <v>260000</v>
      </c>
    </row>
    <row r="5" ht="15.75" customHeight="1">
      <c r="A5" s="52" t="s">
        <v>109</v>
      </c>
      <c r="B5" s="53">
        <f>150</f>
        <v>150</v>
      </c>
      <c r="C5" s="54">
        <v>125.0</v>
      </c>
      <c r="D5" s="53">
        <f t="shared" si="1"/>
        <v>18750</v>
      </c>
    </row>
    <row r="6" ht="15.75" customHeight="1"/>
    <row r="7" ht="15.75" customHeight="1">
      <c r="A7" s="55" t="s">
        <v>110</v>
      </c>
      <c r="B7" s="56">
        <v>13.0</v>
      </c>
      <c r="C7" s="55">
        <f>C4+C5</f>
        <v>775</v>
      </c>
      <c r="D7" s="55">
        <f>B7*C7</f>
        <v>10075</v>
      </c>
    </row>
    <row r="8" ht="15.75" customHeight="1"/>
    <row r="9" ht="15.75" customHeight="1">
      <c r="A9" s="57" t="s">
        <v>111</v>
      </c>
      <c r="B9" s="58"/>
      <c r="C9" s="59">
        <f>SUM(C4:C5)</f>
        <v>775</v>
      </c>
      <c r="D9" s="59">
        <f>SUM(D4:D5)-D7</f>
        <v>268675</v>
      </c>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0"/>
    <col customWidth="1" min="2" max="2" width="31.57"/>
    <col customWidth="1" min="3" max="6" width="10.43"/>
    <col customWidth="1" min="7" max="7" width="15.57"/>
    <col customWidth="1" min="8" max="8" width="10.43"/>
    <col customWidth="1" min="9" max="9" width="21.71"/>
    <col customWidth="1" min="10" max="10" width="11.71"/>
    <col customWidth="1" min="11" max="11" width="21.57"/>
    <col customWidth="1" min="12" max="16" width="9.0"/>
  </cols>
  <sheetData>
    <row r="1" ht="15.75" customHeight="1">
      <c r="A1" s="60"/>
      <c r="B1" s="60"/>
      <c r="C1" s="60"/>
      <c r="D1" s="60"/>
      <c r="E1" s="60"/>
      <c r="F1" s="60"/>
      <c r="G1" s="61"/>
      <c r="H1" s="60"/>
      <c r="I1" s="60"/>
      <c r="J1" s="60"/>
      <c r="K1" s="60"/>
      <c r="L1" s="60"/>
      <c r="M1" s="60"/>
      <c r="N1" s="60"/>
      <c r="O1" s="60"/>
      <c r="P1" s="60"/>
      <c r="Q1" s="60"/>
      <c r="R1" s="60"/>
      <c r="S1" s="60"/>
      <c r="T1" s="60"/>
      <c r="U1" s="60"/>
      <c r="V1" s="60"/>
      <c r="W1" s="60"/>
      <c r="X1" s="60"/>
      <c r="Y1" s="60"/>
      <c r="Z1" s="60"/>
    </row>
    <row r="2" ht="29.25" customHeight="1">
      <c r="A2" s="60"/>
      <c r="B2" s="62" t="s">
        <v>112</v>
      </c>
      <c r="C2" s="63" t="s">
        <v>113</v>
      </c>
      <c r="D2" s="63" t="s">
        <v>114</v>
      </c>
      <c r="E2" s="63" t="s">
        <v>115</v>
      </c>
      <c r="F2" s="63" t="s">
        <v>116</v>
      </c>
      <c r="G2" s="64" t="s">
        <v>117</v>
      </c>
      <c r="H2" s="63" t="s">
        <v>118</v>
      </c>
      <c r="I2" s="63" t="s">
        <v>119</v>
      </c>
      <c r="J2" s="64" t="s">
        <v>120</v>
      </c>
      <c r="K2" s="63" t="s">
        <v>121</v>
      </c>
      <c r="L2" s="65" t="s">
        <v>122</v>
      </c>
      <c r="M2" s="60"/>
      <c r="N2" s="60"/>
      <c r="O2" s="60"/>
      <c r="P2" s="60"/>
      <c r="Q2" s="60"/>
      <c r="R2" s="60"/>
      <c r="S2" s="60"/>
      <c r="T2" s="60"/>
      <c r="U2" s="60"/>
      <c r="V2" s="60"/>
      <c r="W2" s="60"/>
      <c r="X2" s="60"/>
      <c r="Y2" s="60"/>
      <c r="Z2" s="60"/>
    </row>
    <row r="3" ht="15.75" customHeight="1">
      <c r="A3" s="60"/>
      <c r="B3" s="66" t="s">
        <v>123</v>
      </c>
      <c r="C3" s="67">
        <v>33.0</v>
      </c>
      <c r="D3" s="67">
        <v>2.0</v>
      </c>
      <c r="E3" s="68">
        <v>1.0</v>
      </c>
      <c r="F3" s="69">
        <v>1.0</v>
      </c>
      <c r="G3" s="70">
        <f t="shared" ref="G3:G8" si="1">(D3*C3*E3*$C$24)+(F3*D3*C3*$C$23)</f>
        <v>29937.6</v>
      </c>
      <c r="H3" s="68">
        <v>10.0</v>
      </c>
      <c r="I3" s="67">
        <f t="shared" ref="I3:I8" si="2">C27*2</f>
        <v>5200</v>
      </c>
      <c r="J3" s="70">
        <f t="shared" ref="J3:J8" si="3">H3*I3</f>
        <v>52000</v>
      </c>
      <c r="K3" s="71">
        <f t="shared" ref="K3:K8" si="4">-G3+J3</f>
        <v>22062.4</v>
      </c>
      <c r="L3" s="71">
        <f t="shared" ref="L3:L5" si="5">I3/(D3*C3)</f>
        <v>78.78787879</v>
      </c>
      <c r="M3" s="60"/>
      <c r="N3" s="60"/>
      <c r="O3" s="60"/>
      <c r="P3" s="60"/>
      <c r="R3" s="60"/>
      <c r="S3" s="60"/>
      <c r="T3" s="60"/>
      <c r="U3" s="60"/>
      <c r="V3" s="60"/>
      <c r="W3" s="60"/>
      <c r="X3" s="60"/>
      <c r="Y3" s="60"/>
      <c r="Z3" s="60"/>
    </row>
    <row r="4" ht="15.75" customHeight="1">
      <c r="A4" s="60"/>
      <c r="B4" s="66" t="s">
        <v>124</v>
      </c>
      <c r="C4" s="67">
        <v>33.0</v>
      </c>
      <c r="D4" s="67">
        <v>1.5</v>
      </c>
      <c r="E4" s="68">
        <v>2.0</v>
      </c>
      <c r="F4" s="67"/>
      <c r="G4" s="70">
        <f t="shared" si="1"/>
        <v>20512.8</v>
      </c>
      <c r="H4" s="68">
        <v>10.0</v>
      </c>
      <c r="I4" s="67">
        <f t="shared" si="2"/>
        <v>4300</v>
      </c>
      <c r="J4" s="70">
        <f t="shared" si="3"/>
        <v>43000</v>
      </c>
      <c r="K4" s="71">
        <f t="shared" si="4"/>
        <v>22487.2</v>
      </c>
      <c r="L4" s="71">
        <f t="shared" si="5"/>
        <v>86.86868687</v>
      </c>
      <c r="M4" s="60"/>
      <c r="N4" s="60"/>
      <c r="O4" s="60"/>
      <c r="P4" s="60"/>
      <c r="R4" s="60"/>
      <c r="S4" s="60"/>
      <c r="T4" s="60"/>
      <c r="U4" s="60"/>
      <c r="V4" s="60"/>
      <c r="W4" s="60"/>
      <c r="X4" s="60"/>
      <c r="Y4" s="60"/>
      <c r="Z4" s="60"/>
    </row>
    <row r="5" ht="15.75" customHeight="1">
      <c r="A5" s="60"/>
      <c r="B5" s="66" t="s">
        <v>125</v>
      </c>
      <c r="C5" s="67">
        <v>33.0</v>
      </c>
      <c r="D5" s="67">
        <v>1.25</v>
      </c>
      <c r="E5" s="67">
        <v>2.0</v>
      </c>
      <c r="F5" s="72"/>
      <c r="G5" s="73">
        <f t="shared" si="1"/>
        <v>17094</v>
      </c>
      <c r="H5" s="68">
        <v>14.0</v>
      </c>
      <c r="I5" s="67">
        <f t="shared" si="2"/>
        <v>3300</v>
      </c>
      <c r="J5" s="70">
        <f t="shared" si="3"/>
        <v>46200</v>
      </c>
      <c r="K5" s="71">
        <f t="shared" si="4"/>
        <v>29106</v>
      </c>
      <c r="L5" s="71">
        <f t="shared" si="5"/>
        <v>80</v>
      </c>
      <c r="M5" s="60"/>
      <c r="N5" s="60"/>
      <c r="O5" s="60"/>
      <c r="P5" s="60"/>
      <c r="Q5" s="74" t="s">
        <v>126</v>
      </c>
      <c r="R5" s="75"/>
      <c r="S5" s="76"/>
      <c r="T5" s="60"/>
      <c r="U5" s="60"/>
      <c r="V5" s="60"/>
      <c r="W5" s="60"/>
      <c r="X5" s="60"/>
      <c r="Y5" s="60"/>
      <c r="Z5" s="60"/>
    </row>
    <row r="6" ht="15.75" customHeight="1">
      <c r="A6" s="60"/>
      <c r="B6" s="77" t="s">
        <v>127</v>
      </c>
      <c r="C6" s="72">
        <v>35.0</v>
      </c>
      <c r="D6" s="69">
        <v>2.0</v>
      </c>
      <c r="E6" s="69">
        <v>1.0</v>
      </c>
      <c r="F6" s="72">
        <v>2.0</v>
      </c>
      <c r="G6" s="70">
        <f t="shared" si="1"/>
        <v>49000</v>
      </c>
      <c r="H6" s="68">
        <v>8.5</v>
      </c>
      <c r="I6" s="67">
        <f t="shared" si="2"/>
        <v>7000</v>
      </c>
      <c r="J6" s="70">
        <f t="shared" si="3"/>
        <v>59500</v>
      </c>
      <c r="K6" s="71">
        <f t="shared" si="4"/>
        <v>10500</v>
      </c>
      <c r="L6" s="71">
        <f>I6/(4*C6)</f>
        <v>50</v>
      </c>
      <c r="M6" s="65"/>
      <c r="N6" s="60"/>
      <c r="O6" s="60"/>
      <c r="P6" s="60"/>
      <c r="Q6" s="78" t="s">
        <v>128</v>
      </c>
      <c r="R6" s="60"/>
      <c r="S6" s="79"/>
      <c r="T6" s="60"/>
      <c r="U6" s="60"/>
      <c r="V6" s="60"/>
      <c r="W6" s="60"/>
      <c r="X6" s="60"/>
      <c r="Y6" s="60"/>
      <c r="Z6" s="60"/>
    </row>
    <row r="7" ht="15.75" customHeight="1">
      <c r="A7" s="60"/>
      <c r="B7" s="66" t="s">
        <v>129</v>
      </c>
      <c r="C7" s="72">
        <v>33.0</v>
      </c>
      <c r="D7" s="72">
        <v>1.25</v>
      </c>
      <c r="E7" s="72">
        <v>2.0</v>
      </c>
      <c r="F7" s="72"/>
      <c r="G7" s="73">
        <f t="shared" si="1"/>
        <v>17094</v>
      </c>
      <c r="H7" s="68">
        <v>14.0</v>
      </c>
      <c r="I7" s="67">
        <f t="shared" si="2"/>
        <v>3300</v>
      </c>
      <c r="J7" s="70">
        <f t="shared" si="3"/>
        <v>46200</v>
      </c>
      <c r="K7" s="71">
        <f t="shared" si="4"/>
        <v>29106</v>
      </c>
      <c r="L7" s="71">
        <f t="shared" ref="L7:L8" si="6">I7/(D7*C7)</f>
        <v>80</v>
      </c>
      <c r="M7" s="65"/>
      <c r="N7" s="60"/>
      <c r="O7" s="60"/>
      <c r="P7" s="60"/>
      <c r="Q7" s="80"/>
      <c r="R7" s="60"/>
      <c r="S7" s="79"/>
      <c r="T7" s="60"/>
      <c r="U7" s="60"/>
      <c r="V7" s="60"/>
      <c r="W7" s="60"/>
      <c r="X7" s="60"/>
      <c r="Y7" s="60"/>
      <c r="Z7" s="60"/>
    </row>
    <row r="8" ht="15.75" customHeight="1">
      <c r="A8" s="60"/>
      <c r="B8" s="66" t="s">
        <v>130</v>
      </c>
      <c r="C8" s="72">
        <v>33.0</v>
      </c>
      <c r="D8" s="72">
        <v>1.5</v>
      </c>
      <c r="E8" s="72">
        <v>1.0</v>
      </c>
      <c r="F8" s="72"/>
      <c r="G8" s="70">
        <f t="shared" si="1"/>
        <v>10256.4</v>
      </c>
      <c r="H8" s="68">
        <v>9.0</v>
      </c>
      <c r="I8" s="67">
        <f t="shared" si="2"/>
        <v>2000</v>
      </c>
      <c r="J8" s="70">
        <f t="shared" si="3"/>
        <v>18000</v>
      </c>
      <c r="K8" s="71">
        <f t="shared" si="4"/>
        <v>7743.6</v>
      </c>
      <c r="L8" s="71">
        <f t="shared" si="6"/>
        <v>40.4040404</v>
      </c>
      <c r="M8" s="60"/>
      <c r="N8" s="60"/>
      <c r="O8" s="60"/>
      <c r="P8" s="60"/>
      <c r="Q8" s="81" t="s">
        <v>131</v>
      </c>
      <c r="R8" s="60"/>
      <c r="S8" s="79"/>
      <c r="T8" s="60"/>
      <c r="U8" s="60"/>
      <c r="V8" s="60"/>
      <c r="W8" s="60"/>
      <c r="X8" s="60"/>
      <c r="Y8" s="60"/>
      <c r="Z8" s="60"/>
    </row>
    <row r="9" ht="15.75" customHeight="1">
      <c r="A9" s="60"/>
      <c r="B9" s="82" t="s">
        <v>132</v>
      </c>
      <c r="C9" s="83"/>
      <c r="D9" s="83"/>
      <c r="E9" s="83"/>
      <c r="F9" s="83"/>
      <c r="G9" s="83"/>
      <c r="H9" s="84">
        <v>4.0</v>
      </c>
      <c r="I9" s="85">
        <f>C33*2</f>
        <v>7400</v>
      </c>
      <c r="J9" s="86">
        <v>3700.0</v>
      </c>
      <c r="K9" s="87">
        <v>3700.0</v>
      </c>
      <c r="L9" s="71">
        <f>(I9/3.5)/C8</f>
        <v>64.06926407</v>
      </c>
      <c r="M9" s="60"/>
      <c r="N9" s="60"/>
      <c r="O9" s="60"/>
      <c r="P9" s="60"/>
      <c r="Q9" s="78" t="s">
        <v>133</v>
      </c>
      <c r="R9" s="88">
        <v>8.0</v>
      </c>
      <c r="S9" s="79"/>
      <c r="T9" s="60"/>
      <c r="U9" s="60"/>
      <c r="V9" s="60"/>
      <c r="W9" s="60"/>
      <c r="X9" s="60"/>
      <c r="Y9" s="60"/>
      <c r="Z9" s="60"/>
    </row>
    <row r="10" ht="15.75" customHeight="1">
      <c r="A10" s="60"/>
      <c r="B10" s="66" t="s">
        <v>134</v>
      </c>
      <c r="C10" s="67">
        <v>33.0</v>
      </c>
      <c r="D10" s="67">
        <v>2.0</v>
      </c>
      <c r="E10" s="67">
        <v>1.0</v>
      </c>
      <c r="F10" s="67">
        <v>1.0</v>
      </c>
      <c r="G10" s="70">
        <v>0.0</v>
      </c>
      <c r="H10" s="67">
        <v>15.0</v>
      </c>
      <c r="I10" s="67">
        <f>C34*H10</f>
        <v>0</v>
      </c>
      <c r="J10" s="70">
        <f>H10*I10</f>
        <v>0</v>
      </c>
      <c r="K10" s="71">
        <f>-G10+J10</f>
        <v>0</v>
      </c>
      <c r="L10" s="71"/>
      <c r="M10" s="88"/>
      <c r="N10" s="60"/>
      <c r="O10" s="60"/>
      <c r="P10" s="60"/>
      <c r="Q10" s="78" t="s">
        <v>135</v>
      </c>
      <c r="R10" s="88">
        <v>5.0</v>
      </c>
      <c r="S10" s="79"/>
      <c r="T10" s="60"/>
      <c r="U10" s="60"/>
      <c r="V10" s="60"/>
      <c r="W10" s="60"/>
      <c r="X10" s="60"/>
      <c r="Y10" s="60"/>
      <c r="Z10" s="60"/>
    </row>
    <row r="11" ht="15.75" customHeight="1">
      <c r="A11" s="60"/>
      <c r="B11" s="89" t="s">
        <v>136</v>
      </c>
      <c r="C11" s="60"/>
      <c r="D11" s="60"/>
      <c r="E11" s="60"/>
      <c r="F11" s="88">
        <v>6.0</v>
      </c>
      <c r="G11" s="60">
        <f>F11*C23</f>
        <v>1478.4</v>
      </c>
      <c r="H11" s="60"/>
      <c r="I11" s="60"/>
      <c r="J11" s="60"/>
      <c r="K11" s="60"/>
      <c r="L11" s="90"/>
      <c r="M11" s="65"/>
      <c r="N11" s="60"/>
      <c r="O11" s="60"/>
      <c r="P11" s="60"/>
      <c r="Q11" s="78" t="s">
        <v>137</v>
      </c>
      <c r="R11" s="88">
        <v>300.0</v>
      </c>
      <c r="S11" s="79"/>
      <c r="T11" s="60"/>
      <c r="U11" s="60"/>
      <c r="V11" s="60"/>
      <c r="W11" s="60"/>
      <c r="X11" s="60"/>
      <c r="Y11" s="60"/>
      <c r="Z11" s="60"/>
    </row>
    <row r="12" ht="15.75" customHeight="1">
      <c r="A12" s="60"/>
      <c r="B12" s="91" t="s">
        <v>138</v>
      </c>
      <c r="C12" s="92">
        <v>2.0</v>
      </c>
      <c r="D12" s="92">
        <v>2.0</v>
      </c>
      <c r="E12" s="92">
        <v>15.0</v>
      </c>
      <c r="F12" s="93">
        <v>5.0</v>
      </c>
      <c r="G12" s="94">
        <f>(D12*C12*E12*$C$24)+(F12*D12*C12*$C$23)</f>
        <v>17360</v>
      </c>
      <c r="H12" s="92"/>
      <c r="I12" s="92"/>
      <c r="J12" s="94"/>
      <c r="K12" s="95"/>
      <c r="L12" s="96"/>
      <c r="M12" s="65"/>
      <c r="N12" s="60"/>
      <c r="O12" s="60"/>
      <c r="P12" s="60"/>
      <c r="Q12" s="78" t="s">
        <v>139</v>
      </c>
      <c r="R12" s="88">
        <v>6.0</v>
      </c>
      <c r="S12" s="79"/>
      <c r="T12" s="60"/>
      <c r="U12" s="60"/>
      <c r="V12" s="60"/>
      <c r="W12" s="60"/>
      <c r="X12" s="60"/>
      <c r="Y12" s="60"/>
      <c r="Z12" s="60"/>
    </row>
    <row r="13" ht="15.75" customHeight="1">
      <c r="A13" s="60"/>
      <c r="B13" s="97" t="s">
        <v>140</v>
      </c>
      <c r="C13" s="98"/>
      <c r="D13" s="98"/>
      <c r="E13" s="98"/>
      <c r="F13" s="98"/>
      <c r="G13" s="99">
        <f>SUM(G3:G12)</f>
        <v>162733.2</v>
      </c>
      <c r="H13" s="100">
        <f>SUM(H3:H10)</f>
        <v>84.5</v>
      </c>
      <c r="I13" s="98"/>
      <c r="J13" s="101">
        <f>SUM(J3:J10)+J18</f>
        <v>264600</v>
      </c>
      <c r="K13" s="102">
        <f>J13-G13</f>
        <v>101866.8</v>
      </c>
      <c r="L13" s="103"/>
      <c r="M13" s="60"/>
      <c r="N13" s="60"/>
      <c r="O13" s="60"/>
      <c r="P13" s="60"/>
      <c r="Q13" s="78" t="s">
        <v>141</v>
      </c>
      <c r="R13" s="60">
        <f>R10*R11*R12</f>
        <v>9000</v>
      </c>
      <c r="S13" s="104"/>
      <c r="T13" s="60"/>
      <c r="U13" s="60"/>
      <c r="V13" s="60"/>
      <c r="W13" s="60"/>
      <c r="X13" s="60"/>
      <c r="Y13" s="60"/>
      <c r="Z13" s="60"/>
    </row>
    <row r="14" ht="15.75" customHeight="1">
      <c r="A14" s="60"/>
      <c r="B14" s="77"/>
      <c r="C14" s="105"/>
      <c r="D14" s="105"/>
      <c r="E14" s="105"/>
      <c r="F14" s="105"/>
      <c r="G14" s="106"/>
      <c r="H14" s="105"/>
      <c r="I14" s="105"/>
      <c r="J14" s="106"/>
      <c r="K14" s="65"/>
      <c r="L14" s="60"/>
      <c r="M14" s="65"/>
      <c r="N14" s="60"/>
      <c r="O14" s="60"/>
      <c r="P14" s="60"/>
      <c r="Q14" s="80"/>
      <c r="R14" s="60"/>
      <c r="S14" s="79"/>
      <c r="T14" s="60"/>
      <c r="U14" s="60"/>
      <c r="V14" s="60"/>
      <c r="W14" s="60"/>
      <c r="X14" s="60"/>
      <c r="Y14" s="60"/>
      <c r="Z14" s="60"/>
    </row>
    <row r="15" ht="15.75" customHeight="1">
      <c r="A15" s="60"/>
      <c r="C15" s="105"/>
      <c r="D15" s="105"/>
      <c r="E15" s="105"/>
      <c r="F15" s="105"/>
      <c r="G15" s="106"/>
      <c r="H15" s="105"/>
      <c r="I15" s="105"/>
      <c r="K15" s="60"/>
      <c r="L15" s="60"/>
      <c r="M15" s="60"/>
      <c r="N15" s="60"/>
      <c r="O15" s="60"/>
      <c r="P15" s="60"/>
      <c r="Q15" s="81" t="s">
        <v>142</v>
      </c>
      <c r="R15" s="60"/>
      <c r="S15" s="79"/>
      <c r="T15" s="60"/>
      <c r="U15" s="60"/>
      <c r="V15" s="60"/>
      <c r="W15" s="60"/>
      <c r="X15" s="60"/>
      <c r="Y15" s="60"/>
      <c r="Z15" s="60"/>
    </row>
    <row r="16" ht="17.25" customHeight="1">
      <c r="A16" s="88"/>
      <c r="L16" s="60"/>
      <c r="M16" s="60"/>
      <c r="N16" s="60"/>
      <c r="O16" s="60"/>
      <c r="P16" s="60"/>
      <c r="Q16" s="78" t="s">
        <v>143</v>
      </c>
      <c r="R16" s="88">
        <v>110.0</v>
      </c>
      <c r="S16" s="79"/>
      <c r="T16" s="60"/>
      <c r="U16" s="60"/>
      <c r="V16" s="60"/>
      <c r="W16" s="60"/>
      <c r="X16" s="60"/>
      <c r="Y16" s="60"/>
      <c r="Z16" s="60"/>
    </row>
    <row r="17" ht="18.0" customHeight="1">
      <c r="A17" s="60"/>
      <c r="H17" s="107" t="s">
        <v>144</v>
      </c>
      <c r="L17" s="60"/>
      <c r="M17" s="60"/>
      <c r="N17" s="60"/>
      <c r="O17" s="60"/>
      <c r="P17" s="60"/>
      <c r="Q17" s="78" t="s">
        <v>118</v>
      </c>
      <c r="R17" s="88">
        <v>5.0</v>
      </c>
      <c r="S17" s="79"/>
      <c r="T17" s="60"/>
      <c r="U17" s="60"/>
      <c r="V17" s="60"/>
      <c r="W17" s="60"/>
      <c r="X17" s="60"/>
      <c r="Y17" s="60"/>
      <c r="Z17" s="60"/>
    </row>
    <row r="18" ht="15.75" customHeight="1">
      <c r="A18" s="60"/>
      <c r="I18" s="77" t="s">
        <v>145</v>
      </c>
      <c r="J18" s="108">
        <v>-4000.0</v>
      </c>
      <c r="L18" s="60"/>
      <c r="M18" s="60"/>
      <c r="N18" s="60"/>
      <c r="O18" s="60"/>
      <c r="P18" s="60"/>
      <c r="Q18" s="78" t="s">
        <v>146</v>
      </c>
      <c r="R18" s="88">
        <v>6.0</v>
      </c>
      <c r="S18" s="79"/>
      <c r="T18" s="60"/>
      <c r="U18" s="60"/>
      <c r="V18" s="60"/>
      <c r="W18" s="60"/>
      <c r="X18" s="60"/>
      <c r="Y18" s="60"/>
      <c r="Z18" s="60"/>
    </row>
    <row r="19">
      <c r="A19" s="60"/>
      <c r="B19" s="77"/>
      <c r="C19" s="77"/>
      <c r="D19" s="77"/>
      <c r="E19" s="77"/>
      <c r="F19" s="77"/>
      <c r="G19" s="109"/>
      <c r="H19" s="66"/>
      <c r="I19" s="66" t="s">
        <v>147</v>
      </c>
      <c r="J19" s="66">
        <f>R21</f>
        <v>-12300</v>
      </c>
      <c r="K19" s="110"/>
      <c r="L19" s="60"/>
      <c r="M19" s="60"/>
      <c r="N19" s="60"/>
      <c r="O19" s="60"/>
      <c r="P19" s="105"/>
      <c r="Q19" s="78" t="s">
        <v>141</v>
      </c>
      <c r="R19" s="60">
        <f>R16*R17*R18</f>
        <v>3300</v>
      </c>
      <c r="S19" s="79"/>
      <c r="T19" s="60"/>
      <c r="U19" s="60"/>
      <c r="V19" s="60"/>
      <c r="W19" s="60"/>
      <c r="X19" s="60"/>
      <c r="Y19" s="60"/>
      <c r="Z19" s="60"/>
    </row>
    <row r="20">
      <c r="A20" s="60"/>
      <c r="B20" s="111" t="s">
        <v>148</v>
      </c>
      <c r="C20" s="112"/>
      <c r="D20" s="113"/>
      <c r="E20" s="77"/>
      <c r="F20" s="77"/>
      <c r="G20" s="109"/>
      <c r="H20" s="77"/>
      <c r="I20" s="66" t="s">
        <v>149</v>
      </c>
      <c r="J20" s="67">
        <f>K13</f>
        <v>101866.8</v>
      </c>
      <c r="K20" s="66"/>
      <c r="L20" s="60"/>
      <c r="M20" s="60"/>
      <c r="N20" s="60"/>
      <c r="O20" s="60"/>
      <c r="P20" s="60"/>
      <c r="Q20" s="80"/>
      <c r="R20" s="60"/>
      <c r="S20" s="79"/>
      <c r="T20" s="60"/>
      <c r="U20" s="60"/>
      <c r="V20" s="60"/>
      <c r="W20" s="60"/>
      <c r="X20" s="60"/>
      <c r="Y20" s="60"/>
      <c r="Z20" s="60"/>
    </row>
    <row r="21" ht="15.75" customHeight="1">
      <c r="A21" s="60"/>
      <c r="B21" s="114"/>
      <c r="C21" s="77"/>
      <c r="D21" s="115"/>
      <c r="E21" s="77"/>
      <c r="F21" s="77"/>
      <c r="G21" s="109"/>
      <c r="H21" s="116"/>
      <c r="I21" s="77" t="s">
        <v>150</v>
      </c>
      <c r="J21" s="108">
        <v>-7000.0</v>
      </c>
      <c r="K21" s="88"/>
      <c r="M21" s="60"/>
      <c r="N21" s="60"/>
      <c r="O21" s="60"/>
      <c r="P21" s="60"/>
      <c r="Q21" s="117" t="s">
        <v>151</v>
      </c>
      <c r="R21" s="118">
        <f>(R13+R19)*-1</f>
        <v>-12300</v>
      </c>
      <c r="S21" s="119"/>
      <c r="T21" s="60"/>
      <c r="U21" s="60"/>
      <c r="V21" s="60"/>
      <c r="W21" s="60"/>
      <c r="X21" s="60"/>
      <c r="Y21" s="60"/>
      <c r="Z21" s="60"/>
    </row>
    <row r="22" ht="15.75" customHeight="1">
      <c r="A22" s="60"/>
      <c r="B22" s="120" t="s">
        <v>152</v>
      </c>
      <c r="C22" s="77"/>
      <c r="D22" s="115"/>
      <c r="E22" s="77"/>
      <c r="F22" s="77"/>
      <c r="G22" s="109"/>
      <c r="H22" s="116"/>
      <c r="I22" s="77" t="s">
        <v>153</v>
      </c>
      <c r="J22" s="108">
        <v>-36000.0</v>
      </c>
      <c r="K22" s="88" t="s">
        <v>154</v>
      </c>
      <c r="M22" s="60"/>
      <c r="N22" s="60"/>
      <c r="O22" s="60"/>
      <c r="P22" s="60"/>
      <c r="Q22" s="60"/>
      <c r="R22" s="60"/>
      <c r="S22" s="60"/>
      <c r="T22" s="60"/>
      <c r="U22" s="60"/>
      <c r="V22" s="60"/>
      <c r="W22" s="60"/>
      <c r="X22" s="60"/>
      <c r="Y22" s="60"/>
      <c r="Z22" s="60"/>
    </row>
    <row r="23" ht="15.75" customHeight="1">
      <c r="A23" s="60"/>
      <c r="B23" s="114" t="s">
        <v>155</v>
      </c>
      <c r="C23" s="105">
        <f>220*(1+feriepengesats)</f>
        <v>246.4</v>
      </c>
      <c r="D23" s="115"/>
      <c r="E23" s="77"/>
      <c r="F23" s="77"/>
      <c r="G23" s="109"/>
      <c r="H23" s="121"/>
      <c r="I23" s="66" t="s">
        <v>156</v>
      </c>
      <c r="J23" s="88">
        <v>-5000.0</v>
      </c>
      <c r="K23" s="65"/>
      <c r="M23" s="60"/>
      <c r="N23" s="60"/>
      <c r="O23" s="60"/>
      <c r="P23" s="60"/>
      <c r="Q23" s="60"/>
      <c r="R23" s="60"/>
      <c r="S23" s="60"/>
      <c r="T23" s="60"/>
      <c r="U23" s="60"/>
      <c r="V23" s="60"/>
      <c r="W23" s="60"/>
      <c r="X23" s="60"/>
      <c r="Y23" s="60"/>
      <c r="Z23" s="60"/>
    </row>
    <row r="24" ht="15.75" customHeight="1">
      <c r="A24" s="60"/>
      <c r="B24" s="114" t="s">
        <v>157</v>
      </c>
      <c r="C24" s="105">
        <f>185*(1+feriepengesats)</f>
        <v>207.2</v>
      </c>
      <c r="D24" s="115"/>
      <c r="E24" s="77"/>
      <c r="F24" s="77"/>
      <c r="G24" s="109"/>
      <c r="H24" s="116"/>
      <c r="I24" s="77" t="s">
        <v>158</v>
      </c>
      <c r="J24" s="108">
        <v>-17000.0</v>
      </c>
      <c r="K24" s="88" t="s">
        <v>159</v>
      </c>
      <c r="M24" s="60"/>
      <c r="N24" s="60"/>
      <c r="O24" s="60"/>
      <c r="P24" s="60"/>
      <c r="Q24" s="60"/>
      <c r="R24" s="60"/>
      <c r="S24" s="60"/>
      <c r="T24" s="60"/>
      <c r="U24" s="60"/>
      <c r="V24" s="60"/>
      <c r="W24" s="60"/>
      <c r="X24" s="60"/>
      <c r="Y24" s="60"/>
      <c r="Z24" s="60"/>
    </row>
    <row r="25" ht="15.75" customHeight="1">
      <c r="A25" s="60"/>
      <c r="B25" s="114"/>
      <c r="C25" s="77"/>
      <c r="D25" s="115"/>
      <c r="E25" s="77"/>
      <c r="F25" s="77"/>
      <c r="G25" s="109"/>
      <c r="H25" s="116"/>
      <c r="I25" s="77" t="s">
        <v>160</v>
      </c>
      <c r="J25" s="108">
        <v>-20000.0</v>
      </c>
      <c r="K25" s="88" t="s">
        <v>161</v>
      </c>
      <c r="M25" s="60"/>
      <c r="N25" s="60"/>
      <c r="O25" s="60"/>
      <c r="P25" s="60"/>
      <c r="Q25" s="60"/>
      <c r="R25" s="60"/>
      <c r="S25" s="60"/>
      <c r="T25" s="60"/>
      <c r="U25" s="60"/>
      <c r="V25" s="60"/>
      <c r="W25" s="60"/>
      <c r="X25" s="60"/>
      <c r="Y25" s="60"/>
      <c r="Z25" s="60"/>
    </row>
    <row r="26" ht="15.75" customHeight="1">
      <c r="A26" s="60"/>
      <c r="B26" s="122" t="s">
        <v>162</v>
      </c>
      <c r="C26" s="123"/>
      <c r="D26" s="115"/>
      <c r="E26" s="77"/>
      <c r="F26" s="77"/>
      <c r="G26" s="109"/>
      <c r="H26" s="77"/>
      <c r="I26" s="66" t="s">
        <v>89</v>
      </c>
      <c r="J26" s="105">
        <v>-3000.0</v>
      </c>
      <c r="K26" s="124"/>
      <c r="L26" s="60"/>
      <c r="M26" s="60"/>
      <c r="N26" s="60"/>
      <c r="O26" s="60"/>
      <c r="P26" s="60"/>
      <c r="Q26" s="60"/>
      <c r="R26" s="60"/>
      <c r="S26" s="60"/>
      <c r="T26" s="60"/>
      <c r="U26" s="60"/>
      <c r="V26" s="60"/>
      <c r="W26" s="60"/>
      <c r="X26" s="60"/>
      <c r="Y26" s="60"/>
      <c r="Z26" s="60"/>
    </row>
    <row r="27" ht="15.75" customHeight="1">
      <c r="A27" s="60"/>
      <c r="B27" s="125" t="s">
        <v>163</v>
      </c>
      <c r="C27" s="65">
        <v>2600.0</v>
      </c>
      <c r="D27" s="115"/>
      <c r="E27" s="77"/>
      <c r="F27" s="77"/>
      <c r="G27" s="109"/>
      <c r="H27" s="66"/>
      <c r="I27" s="66" t="s">
        <v>164</v>
      </c>
      <c r="J27" s="108">
        <v>-1500.0</v>
      </c>
      <c r="K27" s="126"/>
      <c r="L27" s="60"/>
      <c r="M27" s="60"/>
      <c r="N27" s="60"/>
      <c r="O27" s="60"/>
      <c r="P27" s="60"/>
      <c r="Q27" s="60"/>
      <c r="R27" s="60"/>
      <c r="S27" s="60"/>
      <c r="T27" s="60"/>
      <c r="U27" s="60"/>
      <c r="V27" s="60"/>
      <c r="W27" s="60"/>
      <c r="X27" s="60"/>
      <c r="Y27" s="60"/>
      <c r="Z27" s="60"/>
    </row>
    <row r="28" ht="15.75" customHeight="1">
      <c r="A28" s="60"/>
      <c r="B28" s="125" t="s">
        <v>124</v>
      </c>
      <c r="C28" s="65">
        <v>2150.0</v>
      </c>
      <c r="D28" s="115"/>
      <c r="E28" s="77"/>
      <c r="F28" s="77"/>
      <c r="G28" s="109"/>
      <c r="H28" s="112"/>
      <c r="I28" s="127" t="s">
        <v>165</v>
      </c>
      <c r="J28" s="128">
        <f>SUM(J19:J27)</f>
        <v>66.8</v>
      </c>
      <c r="K28" s="77"/>
      <c r="L28" s="60"/>
      <c r="M28" s="60"/>
      <c r="N28" s="60"/>
      <c r="O28" s="60"/>
      <c r="P28" s="60"/>
      <c r="Q28" s="60"/>
      <c r="R28" s="60"/>
      <c r="S28" s="60"/>
      <c r="T28" s="60"/>
      <c r="U28" s="60"/>
      <c r="V28" s="60"/>
      <c r="W28" s="60"/>
      <c r="X28" s="60"/>
      <c r="Y28" s="60"/>
      <c r="Z28" s="60"/>
    </row>
    <row r="29" ht="15.75" customHeight="1">
      <c r="A29" s="60"/>
      <c r="B29" s="125" t="s">
        <v>125</v>
      </c>
      <c r="C29" s="65">
        <v>1650.0</v>
      </c>
      <c r="D29" s="129"/>
      <c r="E29" s="60"/>
      <c r="F29" s="60"/>
      <c r="G29" s="60"/>
      <c r="H29" s="60"/>
      <c r="I29" s="60"/>
      <c r="J29" s="60"/>
      <c r="K29" s="60"/>
      <c r="L29" s="60"/>
      <c r="M29" s="60"/>
      <c r="N29" s="60"/>
      <c r="O29" s="60"/>
      <c r="P29" s="60"/>
      <c r="Q29" s="60"/>
      <c r="R29" s="60"/>
      <c r="S29" s="60"/>
      <c r="T29" s="60"/>
      <c r="U29" s="60"/>
      <c r="V29" s="60"/>
      <c r="W29" s="60"/>
      <c r="X29" s="60"/>
      <c r="Y29" s="60"/>
      <c r="Z29" s="60"/>
    </row>
    <row r="30" ht="15.75" customHeight="1">
      <c r="A30" s="60"/>
      <c r="B30" s="130" t="s">
        <v>127</v>
      </c>
      <c r="C30" s="65">
        <v>3500.0</v>
      </c>
      <c r="D30" s="129"/>
      <c r="E30" s="60"/>
      <c r="F30" s="60"/>
      <c r="G30" s="60"/>
      <c r="H30" s="60"/>
      <c r="I30" s="65"/>
      <c r="J30" s="65"/>
      <c r="K30" s="60"/>
      <c r="L30" s="60"/>
      <c r="M30" s="60"/>
      <c r="N30" s="60"/>
      <c r="O30" s="60"/>
      <c r="P30" s="60"/>
      <c r="Q30" s="60"/>
      <c r="R30" s="60"/>
      <c r="S30" s="60"/>
      <c r="T30" s="60"/>
      <c r="U30" s="60"/>
      <c r="V30" s="60"/>
      <c r="W30" s="60"/>
      <c r="X30" s="60"/>
      <c r="Y30" s="60"/>
      <c r="Z30" s="60"/>
    </row>
    <row r="31" ht="15.75" customHeight="1">
      <c r="A31" s="60"/>
      <c r="B31" s="125" t="s">
        <v>166</v>
      </c>
      <c r="C31" s="65">
        <v>1650.0</v>
      </c>
      <c r="D31" s="129"/>
      <c r="E31" s="60"/>
      <c r="F31" s="60"/>
      <c r="G31" s="60"/>
      <c r="H31" s="60"/>
      <c r="I31" s="131"/>
      <c r="J31" s="131"/>
      <c r="K31" s="60"/>
      <c r="L31" s="60"/>
      <c r="M31" s="60"/>
      <c r="N31" s="60"/>
      <c r="O31" s="60"/>
      <c r="P31" s="60"/>
      <c r="Q31" s="60"/>
      <c r="R31" s="60"/>
      <c r="S31" s="60"/>
      <c r="T31" s="60"/>
      <c r="U31" s="60"/>
      <c r="V31" s="60"/>
      <c r="W31" s="60"/>
      <c r="X31" s="60"/>
      <c r="Y31" s="60"/>
      <c r="Z31" s="60"/>
    </row>
    <row r="32" ht="15.75" customHeight="1">
      <c r="A32" s="60"/>
      <c r="B32" s="125" t="s">
        <v>167</v>
      </c>
      <c r="C32" s="88">
        <v>1000.0</v>
      </c>
      <c r="D32" s="129"/>
      <c r="E32" s="60"/>
      <c r="F32" s="60"/>
      <c r="G32" s="60"/>
      <c r="H32" s="60"/>
      <c r="I32" s="60"/>
      <c r="J32" s="60"/>
      <c r="K32" s="60"/>
      <c r="L32" s="60"/>
      <c r="M32" s="60"/>
      <c r="N32" s="60"/>
      <c r="O32" s="60"/>
      <c r="P32" s="60"/>
      <c r="Q32" s="60"/>
      <c r="R32" s="60"/>
      <c r="S32" s="60"/>
      <c r="T32" s="60"/>
      <c r="U32" s="60"/>
      <c r="V32" s="60"/>
      <c r="W32" s="60"/>
      <c r="X32" s="60"/>
      <c r="Y32" s="60"/>
      <c r="Z32" s="60"/>
    </row>
    <row r="33" ht="15.75" customHeight="1">
      <c r="A33" s="60"/>
      <c r="B33" s="125" t="s">
        <v>132</v>
      </c>
      <c r="C33" s="88">
        <v>3700.0</v>
      </c>
      <c r="D33" s="129"/>
      <c r="E33" s="60"/>
      <c r="F33" s="60"/>
      <c r="G33" s="60"/>
      <c r="H33" s="60"/>
      <c r="I33" s="60"/>
      <c r="J33" s="60"/>
      <c r="K33" s="60"/>
      <c r="L33" s="60"/>
      <c r="M33" s="60"/>
      <c r="N33" s="60"/>
      <c r="O33" s="60"/>
      <c r="P33" s="60"/>
      <c r="Q33" s="60"/>
      <c r="R33" s="60"/>
      <c r="S33" s="60"/>
      <c r="T33" s="60"/>
      <c r="U33" s="60"/>
      <c r="V33" s="60"/>
      <c r="W33" s="60"/>
      <c r="X33" s="60"/>
      <c r="Y33" s="60"/>
      <c r="Z33" s="60"/>
    </row>
    <row r="34" ht="15.75" customHeight="1">
      <c r="A34" s="60"/>
      <c r="B34" s="132" t="s">
        <v>168</v>
      </c>
      <c r="C34" s="133">
        <v>0.0</v>
      </c>
      <c r="D34" s="134"/>
      <c r="E34" s="60"/>
      <c r="F34" s="60"/>
      <c r="G34" s="60"/>
      <c r="H34" s="60"/>
      <c r="I34" s="60"/>
      <c r="J34" s="60"/>
      <c r="K34" s="60"/>
      <c r="L34" s="60"/>
      <c r="M34" s="60"/>
      <c r="N34" s="60"/>
      <c r="O34" s="60"/>
      <c r="P34" s="60"/>
      <c r="Q34" s="60"/>
      <c r="R34" s="60"/>
      <c r="S34" s="60"/>
      <c r="T34" s="60"/>
      <c r="U34" s="60"/>
      <c r="V34" s="60"/>
      <c r="W34" s="60"/>
      <c r="X34" s="60"/>
      <c r="Y34" s="60"/>
      <c r="Z34" s="60"/>
    </row>
    <row r="35" ht="15.75" customHeigh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row>
    <row r="36" ht="15.75" customHeight="1">
      <c r="A36" s="60"/>
      <c r="B36" s="65"/>
      <c r="C36" s="60"/>
      <c r="D36" s="60"/>
      <c r="E36" s="60"/>
      <c r="F36" s="60"/>
      <c r="G36" s="60"/>
      <c r="H36" s="60"/>
      <c r="I36" s="60"/>
      <c r="J36" s="60"/>
      <c r="K36" s="60"/>
      <c r="L36" s="60"/>
      <c r="M36" s="60"/>
      <c r="N36" s="60"/>
      <c r="O36" s="60"/>
      <c r="P36" s="60"/>
      <c r="Q36" s="60"/>
      <c r="R36" s="60"/>
      <c r="S36" s="60"/>
      <c r="T36" s="60"/>
      <c r="U36" s="60"/>
      <c r="V36" s="60"/>
      <c r="W36" s="60"/>
      <c r="X36" s="60"/>
      <c r="Y36" s="60"/>
      <c r="Z36" s="60"/>
    </row>
    <row r="37" ht="15.75" customHeight="1">
      <c r="A37" s="60"/>
      <c r="B37" s="65"/>
      <c r="C37" s="60"/>
      <c r="D37" s="60"/>
      <c r="E37" s="60"/>
      <c r="F37" s="60"/>
      <c r="G37" s="60"/>
      <c r="H37" s="60"/>
      <c r="I37" s="60"/>
      <c r="J37" s="60"/>
      <c r="K37" s="60"/>
      <c r="L37" s="60"/>
      <c r="M37" s="60"/>
      <c r="N37" s="60"/>
      <c r="O37" s="60"/>
      <c r="P37" s="60"/>
      <c r="Q37" s="60"/>
      <c r="R37" s="60"/>
      <c r="S37" s="60"/>
      <c r="T37" s="60"/>
      <c r="U37" s="60"/>
      <c r="V37" s="60"/>
      <c r="W37" s="60"/>
      <c r="X37" s="60"/>
      <c r="Y37" s="60"/>
      <c r="Z37" s="60"/>
    </row>
    <row r="38" ht="15.75" customHeight="1">
      <c r="A38" s="60"/>
      <c r="B38" s="65"/>
      <c r="C38" s="60"/>
      <c r="D38" s="60"/>
      <c r="E38" s="60"/>
      <c r="F38" s="60"/>
      <c r="G38" s="60"/>
      <c r="H38" s="60"/>
      <c r="I38" s="60"/>
      <c r="J38" s="60"/>
      <c r="K38" s="60"/>
      <c r="L38" s="60"/>
      <c r="M38" s="60"/>
      <c r="N38" s="60"/>
      <c r="O38" s="60"/>
      <c r="P38" s="60"/>
      <c r="Q38" s="60"/>
      <c r="R38" s="60"/>
      <c r="S38" s="60"/>
      <c r="T38" s="60"/>
      <c r="U38" s="60"/>
      <c r="V38" s="60"/>
      <c r="W38" s="60"/>
      <c r="X38" s="60"/>
      <c r="Y38" s="60"/>
      <c r="Z38" s="60"/>
    </row>
    <row r="39" ht="15.75" customHeight="1">
      <c r="A39" s="60"/>
      <c r="B39" s="65"/>
      <c r="C39" s="60"/>
      <c r="D39" s="60"/>
      <c r="E39" s="60"/>
      <c r="F39" s="60"/>
      <c r="G39" s="60"/>
      <c r="H39" s="60"/>
      <c r="I39" s="60"/>
      <c r="J39" s="60"/>
      <c r="K39" s="65"/>
      <c r="L39" s="60"/>
      <c r="M39" s="60"/>
      <c r="N39" s="60"/>
      <c r="O39" s="60"/>
      <c r="P39" s="60"/>
      <c r="Q39" s="60"/>
      <c r="R39" s="60"/>
      <c r="S39" s="60"/>
      <c r="T39" s="60"/>
      <c r="U39" s="60"/>
      <c r="V39" s="60"/>
      <c r="W39" s="60"/>
      <c r="X39" s="60"/>
      <c r="Y39" s="60"/>
      <c r="Z39" s="60"/>
    </row>
    <row r="40" ht="15.75" customHeigh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row>
    <row r="41" ht="15.75"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row>
    <row r="42" ht="15.7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row>
    <row r="43" ht="15.7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row>
    <row r="44" ht="15.7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row>
    <row r="45" ht="15.75"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row>
    <row r="46" ht="15.7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row>
    <row r="47" ht="15.7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row r="48" ht="15.7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ht="15.7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row>
    <row r="50" ht="15.75" customHeight="1">
      <c r="A50" s="60"/>
      <c r="B50" s="65">
        <f>3000+J26</f>
        <v>0</v>
      </c>
      <c r="C50" s="60"/>
      <c r="D50" s="60"/>
      <c r="E50" s="60"/>
      <c r="F50" s="60"/>
      <c r="G50" s="60"/>
      <c r="H50" s="60"/>
      <c r="I50" s="60"/>
      <c r="J50" s="60"/>
      <c r="K50" s="60"/>
      <c r="L50" s="60"/>
      <c r="M50" s="60"/>
      <c r="N50" s="60"/>
      <c r="O50" s="60"/>
      <c r="P50" s="60"/>
      <c r="Q50" s="60"/>
      <c r="R50" s="60"/>
      <c r="S50" s="60"/>
      <c r="T50" s="60"/>
      <c r="U50" s="60"/>
      <c r="V50" s="60"/>
      <c r="W50" s="60"/>
      <c r="X50" s="60"/>
      <c r="Y50" s="60"/>
      <c r="Z50" s="60"/>
    </row>
    <row r="51" ht="15.7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ht="15.7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ht="15.7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ht="15.7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row>
    <row r="55" ht="15.7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ht="15.7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ht="15.7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ht="15.7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ht="15.7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ht="15.7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ht="15.75"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ht="15.75"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ht="15.75"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ht="15.7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ht="15.75"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ht="15.7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ht="15.75"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ht="15.75"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ht="15.7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ht="15.75"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ht="15.7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ht="15.75"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ht="15.7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ht="15.7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ht="15.75"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ht="15.75"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ht="15.75"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ht="15.75"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ht="15.75"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ht="15.75"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ht="15.75"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ht="15.75"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ht="15.75"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ht="15.75"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ht="15.75"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ht="15.75"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ht="15.7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ht="15.75"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ht="15.75"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ht="15.7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ht="15.7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ht="15.75"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ht="15.75"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ht="15.75"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ht="15.75"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ht="15.7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ht="15.75"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ht="15.75" customHeigh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ht="15.7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ht="15.75" customHeigh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ht="15.75"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ht="15.75"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ht="15.75" customHeigh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ht="15.75"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ht="15.7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ht="15.7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ht="15.75"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ht="15.75"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ht="15.75" customHeigh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ht="15.75" customHeigh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ht="15.75" customHeigh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ht="15.75" customHeigh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ht="15.75" customHeigh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ht="15.7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ht="15.75" customHeigh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ht="15.75" customHeigh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ht="15.75" customHeigh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ht="15.75" customHeigh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ht="15.75" customHeigh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ht="15.7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ht="15.75" customHeigh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ht="15.75" customHeigh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ht="15.75" customHeigh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ht="15.75" customHeigh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ht="15.7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ht="15.75" customHeigh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ht="15.75" customHeigh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ht="15.75" customHeigh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ht="15.75" customHeigh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ht="15.75" customHeigh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ht="15.7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ht="15.75" customHeigh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ht="15.75" customHeigh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ht="15.75" customHeigh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ht="15.75" customHeigh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ht="15.75" customHeigh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ht="15.75" customHeigh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ht="15.7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ht="15.75" customHeigh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ht="15.75" customHeigh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ht="15.75" customHeigh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ht="15.75" customHeigh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ht="15.75" customHeigh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ht="15.75" customHeigh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ht="15.75" customHeigh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ht="15.75" customHeigh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ht="15.75" customHeigh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ht="15.75" customHeigh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ht="15.75" customHeigh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ht="15.75" customHeigh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ht="15.75" customHeigh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ht="15.75" customHeigh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ht="15.75" customHeigh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ht="15.75" customHeigh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ht="15.75" customHeigh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ht="15.75" customHeigh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ht="15.75" customHeigh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ht="15.75" customHeigh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ht="15.75" customHeigh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ht="15.75" customHeigh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ht="15.7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ht="15.75" customHeigh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ht="15.75" customHeigh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ht="15.75" customHeigh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ht="15.7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ht="15.75" customHeigh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ht="15.75" customHeigh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ht="15.75" customHeigh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ht="15.75" customHeigh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ht="15.75" customHeigh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ht="15.75" customHeigh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ht="15.75" customHeigh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ht="15.75" customHeigh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ht="15.75" customHeigh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ht="15.75" customHeigh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ht="15.75" customHeigh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ht="15.75" customHeigh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ht="15.75" customHeigh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ht="15.75" customHeigh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ht="15.75" customHeigh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ht="15.75" customHeigh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ht="15.75" customHeigh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ht="15.75" customHeigh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ht="15.75" customHeigh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ht="15.75" customHeigh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ht="15.75" customHeigh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ht="15.75" customHeigh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ht="15.75" customHeigh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ht="15.75" customHeigh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ht="15.75" customHeigh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ht="15.75" customHeigh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ht="15.75" customHeigh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ht="15.75" customHeigh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ht="15.75" customHeigh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ht="15.75" customHeigh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ht="15.75" customHeigh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ht="15.75" customHeigh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ht="15.75" customHeigh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ht="15.75" customHeigh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ht="15.75" customHeigh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ht="15.75" customHeigh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ht="15.75" customHeigh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ht="15.75" customHeigh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ht="15.75" customHeigh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ht="15.75" customHeigh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ht="15.75" customHeigh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ht="15.75" customHeigh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ht="15.75" customHeigh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ht="15.75" customHeigh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ht="15.75" customHeigh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ht="15.75" customHeigh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ht="15.75" customHeigh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ht="15.75" customHeigh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ht="15.75" customHeigh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ht="15.75" customHeigh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ht="15.75" customHeigh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ht="15.75" customHeigh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ht="15.75" customHeigh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ht="15.75" customHeigh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ht="15.75"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ht="15.75" customHeigh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ht="15.75"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ht="15.75" customHeigh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ht="15.75" customHeigh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ht="15.75" customHeigh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ht="15.75" customHeigh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ht="15.75" customHeigh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ht="15.75" customHeigh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ht="15.7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ht="15.75" customHeigh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ht="15.75" customHeigh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ht="15.75" customHeigh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ht="15.75" customHeigh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ht="15.75" customHeigh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ht="15.75" customHeigh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ht="15.75" customHeigh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ht="15.75" customHeigh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ht="15.75" customHeigh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ht="15.75" customHeigh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ht="15.75" customHeigh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ht="15.75" customHeigh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ht="15.75" customHeigh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ht="15.75" customHeigh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ht="15.75" customHeigh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ht="15.75" customHeigh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ht="15.75" customHeigh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ht="15.75" customHeigh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ht="15.75" customHeigh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ht="15.75" customHeigh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ht="15.75" customHeigh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ht="15.75" customHeigh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ht="15.7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ht="15.75" customHeigh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ht="15.75" customHeigh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ht="15.75" customHeigh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ht="15.75" customHeigh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ht="15.75" customHeigh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ht="15.75" customHeigh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ht="15.75" customHeigh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ht="15.75" customHeigh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ht="15.75" customHeigh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ht="15.75" customHeigh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ht="15.75" customHeigh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ht="15.75" customHeigh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ht="15.75" customHeigh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ht="15.75" customHeigh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ht="15.75" customHeigh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ht="15.75" customHeigh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ht="15.75" customHeigh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ht="15.75" customHeigh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ht="15.75" customHeigh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ht="15.75" customHeigh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ht="15.75" customHeigh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ht="15.75" customHeigh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ht="15.75" customHeigh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ht="15.75" customHeigh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ht="15.75" customHeigh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ht="15.75" customHeigh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ht="15.75" customHeigh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ht="15.75" customHeigh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ht="15.75" customHeigh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ht="15.75" customHeigh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ht="15.75" customHeigh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ht="15.75" customHeigh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ht="15.75" customHeigh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ht="15.75" customHeigh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ht="15.75" customHeigh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ht="15.75" customHeigh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ht="15.75" customHeigh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ht="15.75" customHeigh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ht="15.75" customHeigh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ht="15.75" customHeigh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ht="15.75" customHeigh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ht="15.75" customHeigh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ht="15.75" customHeigh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ht="15.75" customHeigh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ht="15.75" customHeigh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ht="15.75" customHeigh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ht="15.75" customHeigh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ht="15.75" customHeigh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ht="15.75" customHeigh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ht="15.75" customHeigh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ht="15.75" customHeigh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ht="15.75" customHeigh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ht="15.75" customHeigh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ht="15.75" customHeigh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ht="15.75" customHeigh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ht="15.75" customHeigh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ht="15.75" customHeigh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ht="15.75" customHeigh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ht="15.75" customHeigh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ht="15.75" customHeigh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ht="15.75" customHeigh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ht="15.75" customHeigh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ht="15.75" customHeigh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ht="15.75" customHeigh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ht="15.75" customHeigh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ht="15.75" customHeigh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ht="15.75" customHeigh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ht="15.75" customHeigh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ht="15.75" customHeigh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ht="15.75" customHeigh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ht="15.75" customHeigh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ht="15.75" customHeigh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ht="15.75" customHeigh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ht="15.75" customHeigh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ht="15.75" customHeigh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ht="15.75" customHeigh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ht="15.75" customHeigh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ht="15.75" customHeigh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ht="15.75" customHeigh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ht="15.75" customHeigh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ht="15.75" customHeigh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ht="15.75" customHeigh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ht="15.75" customHeigh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ht="15.75" customHeigh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ht="15.75" customHeigh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ht="15.75" customHeigh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ht="15.75" customHeigh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ht="15.75" customHeigh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ht="15.75" customHeigh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ht="15.75" customHeigh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ht="15.75" customHeigh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ht="15.75" customHeigh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ht="15.75" customHeigh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ht="15.75" customHeigh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ht="15.75" customHeigh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ht="15.75" customHeigh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ht="15.75" customHeigh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ht="15.75" customHeigh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ht="15.75" customHeigh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ht="15.75" customHeigh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ht="15.75" customHeigh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ht="15.75" customHeigh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ht="15.75" customHeigh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ht="15.75" customHeigh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ht="15.75" customHeigh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ht="15.75" customHeigh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ht="15.75" customHeigh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ht="15.75" customHeigh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ht="15.75" customHeigh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ht="15.75" customHeigh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ht="15.75" customHeigh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ht="15.75" customHeigh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ht="15.75" customHeigh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ht="15.75" customHeigh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ht="15.75" customHeigh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ht="15.75" customHeigh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ht="15.75" customHeigh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ht="15.75" customHeigh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ht="15.75" customHeigh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ht="15.75" customHeigh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ht="15.75" customHeigh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ht="15.75" customHeigh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ht="15.75" customHeigh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ht="15.75" customHeigh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ht="15.75" customHeigh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ht="15.75" customHeigh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ht="15.75" customHeigh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ht="15.75" customHeigh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ht="15.75" customHeigh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ht="15.75" customHeigh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ht="15.75" customHeigh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ht="15.75" customHeigh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ht="15.75" customHeigh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ht="15.75" customHeigh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ht="15.75" customHeigh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ht="15.75" customHeigh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ht="15.75" customHeigh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ht="15.75" customHeigh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ht="15.75" customHeigh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ht="15.75" customHeigh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ht="15.75" customHeigh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ht="15.75" customHeigh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ht="15.75" customHeigh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ht="15.75" customHeigh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ht="15.75" customHeigh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ht="15.75" customHeigh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ht="15.75" customHeigh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ht="15.75" customHeigh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ht="15.75" customHeigh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ht="15.75" customHeigh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ht="15.75" customHeigh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ht="15.75" customHeigh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ht="15.75" customHeigh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ht="15.75" customHeigh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ht="15.75" customHeigh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ht="15.7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ht="15.75" customHeigh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ht="15.75" customHeigh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ht="15.75" customHeigh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ht="15.75" customHeigh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ht="15.75" customHeigh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ht="15.75" customHeigh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ht="15.75" customHeigh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ht="15.75" customHeigh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ht="15.75" customHeigh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ht="15.75" customHeigh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ht="15.75" customHeigh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ht="15.75" customHeigh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ht="15.75" customHeigh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ht="15.75" customHeigh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ht="15.75" customHeigh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ht="15.75" customHeigh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ht="15.75" customHeigh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ht="15.75" customHeigh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ht="15.75" customHeigh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ht="15.75" customHeigh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ht="15.75" customHeigh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ht="15.75" customHeigh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ht="15.75" customHeigh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ht="15.75" customHeigh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ht="15.75" customHeigh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ht="15.75" customHeigh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ht="15.75" customHeigh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ht="15.75" customHeigh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ht="15.75" customHeigh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ht="15.75" customHeigh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ht="15.75" customHeigh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ht="15.75" customHeigh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ht="15.7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ht="15.75" customHeigh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ht="15.75" customHeigh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ht="15.75" customHeigh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ht="15.75" customHeigh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ht="15.75" customHeigh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ht="15.75" customHeigh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ht="15.75" customHeigh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ht="15.75" customHeigh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ht="15.75" customHeigh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ht="15.75" customHeigh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ht="15.75" customHeigh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ht="15.75" customHeigh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ht="15.75" customHeigh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ht="15.75" customHeigh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ht="15.75" customHeigh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ht="15.75" customHeigh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ht="15.75" customHeigh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ht="15.75" customHeigh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ht="15.75" customHeigh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ht="15.75" customHeigh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ht="15.75" customHeigh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ht="15.75" customHeigh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ht="15.75" customHeigh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ht="15.75" customHeigh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ht="15.75" customHeigh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ht="15.75" customHeigh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ht="15.75" customHeigh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ht="15.75" customHeigh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ht="15.75" customHeigh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ht="15.75" customHeigh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ht="15.75" customHeigh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ht="15.75" customHeigh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ht="15.75" customHeigh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ht="15.75" customHeigh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ht="15.75" customHeigh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ht="15.75" customHeigh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ht="15.75" customHeigh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ht="15.75" customHeigh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ht="15.75" customHeigh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ht="15.75" customHeigh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ht="15.75" customHeigh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ht="15.75" customHeigh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ht="15.75" customHeigh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ht="15.75" customHeigh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ht="15.75" customHeigh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ht="15.75" customHeigh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ht="15.75" customHeigh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ht="15.75" customHeigh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ht="15.75" customHeigh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ht="15.75" customHeigh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ht="15.75" customHeigh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ht="15.75" customHeigh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ht="15.75" customHeigh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ht="15.75" customHeigh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ht="15.75" customHeigh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ht="15.75" customHeigh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ht="15.75" customHeigh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ht="15.75" customHeigh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ht="15.75" customHeigh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ht="15.75" customHeigh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ht="15.75" customHeigh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ht="15.75" customHeigh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ht="15.75" customHeigh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ht="15.75" customHeigh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ht="15.75" customHeigh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ht="15.75" customHeigh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ht="15.75" customHeigh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ht="15.75" customHeigh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ht="15.75" customHeigh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ht="15.75" customHeigh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ht="15.75" customHeigh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ht="15.75" customHeigh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ht="15.75" customHeigh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ht="15.75" customHeigh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ht="15.75" customHeigh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ht="15.75" customHeigh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ht="15.75" customHeigh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ht="15.75" customHeigh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ht="15.75" customHeigh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ht="15.75" customHeigh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ht="15.75" customHeigh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ht="15.75" customHeigh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ht="15.75" customHeigh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ht="15.75" customHeigh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ht="15.75" customHeigh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ht="15.75" customHeigh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ht="15.75" customHeigh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ht="15.75" customHeigh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ht="15.75" customHeigh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ht="15.75" customHeigh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ht="15.75" customHeigh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ht="15.75" customHeigh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ht="15.75" customHeigh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ht="15.75" customHeigh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ht="15.75" customHeigh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ht="15.75" customHeigh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ht="15.75" customHeigh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ht="15.75" customHeigh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ht="15.75" customHeigh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ht="15.75" customHeigh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ht="15.75" customHeigh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ht="15.75" customHeigh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ht="15.75" customHeigh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ht="15.75" customHeigh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ht="15.75" customHeigh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ht="15.75" customHeigh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ht="15.75" customHeigh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ht="15.75" customHeigh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ht="15.75" customHeigh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ht="15.75" customHeigh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ht="15.75" customHeigh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ht="15.75" customHeigh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ht="15.75" customHeigh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ht="15.75" customHeigh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ht="15.75" customHeigh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ht="15.75" customHeigh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ht="15.75" customHeigh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ht="15.75" customHeigh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ht="15.75" customHeigh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ht="15.75" customHeigh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ht="15.75" customHeigh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ht="15.75" customHeigh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ht="15.75" customHeigh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ht="15.75" customHeigh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ht="15.75" customHeigh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ht="15.75" customHeigh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ht="15.75" customHeigh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ht="15.75" customHeigh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ht="15.75" customHeigh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ht="15.75" customHeigh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ht="15.75" customHeigh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ht="15.75" customHeigh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ht="15.75" customHeigh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ht="15.75" customHeigh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ht="15.75" customHeigh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ht="15.75" customHeigh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ht="15.75" customHeigh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ht="15.75" customHeigh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ht="15.75" customHeigh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ht="15.75" customHeigh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ht="15.75" customHeigh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ht="15.75" customHeigh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ht="15.75" customHeigh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ht="15.75" customHeigh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ht="15.75" customHeigh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ht="15.75" customHeigh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ht="15.75" customHeigh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ht="15.75" customHeigh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ht="15.75" customHeigh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ht="15.75" customHeigh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ht="15.75" customHeigh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ht="15.75" customHeigh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ht="15.75" customHeigh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ht="15.75" customHeigh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ht="15.75" customHeigh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ht="15.75" customHeigh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ht="15.75" customHeigh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ht="15.75" customHeigh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ht="15.75" customHeigh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ht="15.75" customHeigh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ht="15.75" customHeigh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ht="15.75" customHeigh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ht="15.75" customHeigh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ht="15.75" customHeigh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ht="15.75" customHeigh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ht="15.75" customHeigh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ht="15.75" customHeigh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ht="15.75" customHeigh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ht="15.75" customHeigh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ht="15.75" customHeigh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ht="15.75" customHeigh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ht="15.75" customHeigh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ht="15.75" customHeigh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ht="15.75" customHeigh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ht="15.75" customHeigh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ht="15.75" customHeigh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ht="15.75" customHeigh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ht="15.75" customHeigh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ht="15.75" customHeigh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ht="15.75" customHeigh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ht="15.75" customHeigh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ht="15.75" customHeigh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ht="15.75" customHeigh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ht="15.75" customHeigh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ht="15.75" customHeigh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ht="15.75" customHeigh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ht="15.75" customHeigh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ht="15.75" customHeigh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ht="15.75" customHeigh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ht="15.75" customHeigh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ht="15.75" customHeigh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ht="15.75" customHeigh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ht="15.75" customHeigh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ht="15.75" customHeigh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ht="15.75" customHeigh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ht="15.75" customHeigh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ht="15.75" customHeigh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ht="15.75" customHeigh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ht="15.75" customHeigh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ht="15.75" customHeigh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ht="15.75" customHeigh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ht="15.75" customHeigh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ht="15.75" customHeigh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ht="15.75" customHeigh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ht="15.75" customHeigh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ht="15.75" customHeigh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ht="15.75" customHeigh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ht="15.75" customHeigh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ht="15.75" customHeigh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ht="15.75" customHeigh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ht="15.75" customHeigh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ht="15.75" customHeigh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ht="15.75" customHeigh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ht="15.75" customHeigh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ht="15.75" customHeigh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ht="15.75" customHeigh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ht="15.75" customHeigh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ht="15.75" customHeigh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ht="15.75" customHeigh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ht="15.75" customHeigh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ht="15.75" customHeigh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ht="15.75" customHeigh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ht="15.75" customHeigh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ht="15.75" customHeigh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ht="15.75" customHeigh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ht="15.75" customHeigh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ht="15.75" customHeigh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ht="15.75" customHeigh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ht="15.75" customHeigh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ht="15.75" customHeigh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ht="15.75" customHeigh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ht="15.75" customHeigh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ht="15.75" customHeigh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ht="15.75" customHeigh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ht="15.75" customHeigh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ht="15.75" customHeigh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ht="15.75" customHeigh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ht="15.75" customHeigh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ht="15.75" customHeigh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ht="15.75" customHeigh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ht="15.75" customHeigh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ht="15.75" customHeigh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ht="15.75" customHeigh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ht="15.75" customHeigh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ht="15.75" customHeigh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ht="15.75" customHeigh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ht="15.75" customHeigh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ht="15.75" customHeigh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ht="15.75" customHeigh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ht="15.75" customHeigh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ht="15.75" customHeigh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ht="15.75" customHeigh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ht="15.75" customHeigh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ht="15.75" customHeigh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ht="15.75" customHeigh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ht="15.75" customHeigh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ht="15.75" customHeigh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ht="15.75" customHeigh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ht="15.75" customHeigh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ht="15.75" customHeigh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ht="15.75" customHeigh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ht="15.75" customHeigh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ht="15.75" customHeigh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ht="15.75" customHeigh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ht="15.75" customHeigh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ht="15.75" customHeigh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ht="15.75" customHeigh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ht="15.75" customHeigh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ht="15.75" customHeigh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ht="15.75" customHeigh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ht="15.75" customHeigh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ht="15.75" customHeigh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ht="15.75" customHeigh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ht="15.75" customHeigh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ht="15.75" customHeigh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ht="15.75" customHeigh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ht="15.75" customHeigh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ht="15.75" customHeigh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ht="15.75" customHeigh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ht="15.75" customHeigh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ht="15.75" customHeigh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ht="15.75" customHeigh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ht="15.75" customHeigh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ht="15.75" customHeigh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ht="15.75" customHeigh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ht="15.75" customHeigh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ht="15.75" customHeigh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ht="15.75" customHeigh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ht="15.75" customHeigh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ht="15.75" customHeigh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ht="15.75" customHeigh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ht="15.75" customHeigh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ht="15.75" customHeigh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ht="15.75" customHeigh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ht="15.75" customHeigh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ht="15.75" customHeigh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ht="15.75" customHeigh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ht="15.75" customHeigh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ht="15.75" customHeigh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ht="15.75" customHeigh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ht="15.75" customHeigh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ht="15.75" customHeigh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ht="15.75" customHeigh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ht="15.75" customHeigh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ht="15.75" customHeigh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ht="15.75" customHeigh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ht="15.75" customHeigh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ht="15.75" customHeigh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ht="15.75" customHeigh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ht="15.75" customHeigh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ht="15.75" customHeigh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ht="15.75" customHeigh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ht="15.75" customHeigh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ht="15.75" customHeigh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ht="15.75" customHeigh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ht="15.75" customHeigh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ht="15.75" customHeigh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ht="15.75" customHeigh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ht="15.75" customHeigh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ht="15.75" customHeigh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ht="15.75" customHeigh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ht="15.75" customHeigh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ht="15.75" customHeigh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ht="15.75" customHeigh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ht="15.75" customHeigh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ht="15.75" customHeight="1">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ht="15.75" customHeight="1">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ht="15.75" customHeight="1">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ht="15.75" customHeight="1">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ht="15.75" customHeight="1">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ht="15.75" customHeight="1">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ht="15.75" customHeight="1">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ht="15.75" customHeight="1">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ht="15.75" customHeight="1">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ht="15.75" customHeight="1">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ht="15.75" customHeight="1">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ht="15.75" customHeight="1">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ht="15.75" customHeight="1">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ht="15.75" customHeight="1">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ht="15.75" customHeight="1">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ht="15.75" customHeight="1">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ht="15.75" customHeight="1">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ht="15.75" customHeight="1">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ht="15.75" customHeight="1">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ht="15.75" customHeight="1">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ht="15.75" customHeight="1">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ht="15.75" customHeight="1">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ht="15.75" customHeight="1">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ht="15.75" customHeight="1">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ht="15.75" customHeight="1">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ht="15.75" customHeight="1">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ht="15.75" customHeight="1">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ht="15.75" customHeight="1">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ht="15.75" customHeight="1">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ht="15.75" customHeight="1">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ht="15.75" customHeight="1">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ht="15.75" customHeight="1">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ht="15.75" customHeight="1">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ht="15.75" customHeight="1">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ht="15.75" customHeight="1">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ht="15.75" customHeight="1">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ht="15.75" customHeight="1">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ht="15.75" customHeight="1">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ht="15.75" customHeight="1">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ht="15.75" customHeight="1">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ht="15.75" customHeight="1">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ht="15.75" customHeight="1">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ht="15.75" customHeight="1">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ht="15.75" customHeight="1">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ht="15.75" customHeight="1">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ht="15.75" customHeight="1">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ht="15.75" customHeight="1">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ht="15.75" customHeight="1">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ht="15.75" customHeight="1">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ht="15.75" customHeight="1">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ht="15.75" customHeight="1">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ht="15.75" customHeight="1">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ht="15.75" customHeight="1">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ht="15.75" customHeight="1">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ht="15.75" customHeight="1">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ht="15.75" customHeight="1">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ht="15.75" customHeight="1">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ht="15.75" customHeight="1">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ht="15.75" customHeight="1">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ht="15.75" customHeight="1">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ht="15.75" customHeight="1">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ht="15.75" customHeight="1">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ht="15.75" customHeight="1">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ht="15.75" customHeight="1">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ht="15.75" customHeight="1">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ht="15.75" customHeight="1">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ht="15.75" customHeight="1">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ht="15.75" customHeight="1">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ht="15.75" customHeight="1">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ht="15.75" customHeight="1">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ht="15.75" customHeight="1">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ht="15.75" customHeight="1">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ht="15.75" customHeight="1">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ht="15.75" customHeight="1">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ht="15.75" customHeight="1">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ht="15.75" customHeight="1">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ht="15.75" customHeight="1">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ht="15.75" customHeight="1">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ht="15.75" customHeight="1">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ht="15.75" customHeight="1">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ht="15.75" customHeight="1">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ht="15.75" customHeight="1">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ht="15.75" customHeight="1">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ht="15.75" customHeight="1">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ht="15.75" customHeight="1">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ht="15.75" customHeight="1">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ht="15.75" customHeight="1">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ht="15.75" customHeight="1">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ht="15.75" customHeight="1">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ht="15.75" customHeight="1">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ht="15.75" customHeight="1">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ht="15.75" customHeight="1">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ht="15.75" customHeight="1">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ht="15.75" customHeight="1">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ht="15.75" customHeight="1">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ht="15.75" customHeight="1">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ht="15.75" customHeight="1">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ht="15.75" customHeight="1">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ht="15.75" customHeight="1">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ht="15.75" customHeight="1">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ht="15.75" customHeight="1">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ht="15.75" customHeight="1">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ht="15.75" customHeight="1">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ht="15.75" customHeight="1">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ht="15.75" customHeight="1">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ht="15.75" customHeight="1">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ht="15.75" customHeight="1">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ht="15.75" customHeight="1">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ht="15.75" customHeight="1">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ht="15.75" customHeight="1">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ht="15.75" customHeight="1">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ht="15.75" customHeight="1">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ht="15.75" customHeight="1">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ht="15.75" customHeight="1">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ht="15.75" customHeight="1">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ht="15.75" customHeight="1">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ht="15.75" customHeight="1">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ht="15.75" customHeight="1">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ht="15.75" customHeight="1">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ht="15.75" customHeight="1">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ht="15.75" customHeight="1">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ht="15.75" customHeight="1">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ht="15.75" customHeight="1">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ht="15.75" customHeight="1">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ht="15.75" customHeight="1">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ht="15.75" customHeight="1">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ht="15.75" customHeight="1">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ht="15.75" customHeight="1">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ht="15.75" customHeight="1">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ht="15.75" customHeight="1">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ht="15.75" customHeight="1">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ht="15.75" customHeight="1">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ht="15.75" customHeight="1">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ht="15.75" customHeight="1">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ht="15.75" customHeight="1">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ht="15.75" customHeight="1">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ht="15.75" customHeight="1">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ht="15.75" customHeight="1">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ht="15.75" customHeight="1">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ht="15.75" customHeight="1">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ht="15.75" customHeight="1">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ht="15.75" customHeight="1">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ht="15.75" customHeight="1">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ht="15.75" customHeight="1">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ht="15.75" customHeight="1">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ht="15.75" customHeight="1">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ht="15.75" customHeight="1">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ht="15.75" customHeight="1">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ht="15.75" customHeight="1">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ht="15.75" customHeight="1">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ht="15.75" customHeight="1">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ht="15.75" customHeight="1">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ht="15.75" customHeight="1">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ht="15.75" customHeight="1">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ht="15.75" customHeight="1">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ht="15.75" customHeight="1">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ht="15.75" customHeight="1">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ht="15.75" customHeight="1">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ht="15.75" customHeight="1">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ht="15.75" customHeight="1">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ht="15.75" customHeight="1">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ht="15.75" customHeight="1">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ht="15.75" customHeight="1">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ht="15.75" customHeight="1">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ht="15.75" customHeight="1">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ht="15.75" customHeight="1">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ht="15.75" customHeight="1">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ht="15.75" customHeight="1">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ht="15.75" customHeight="1">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ht="15.75" customHeight="1">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ht="15.75" customHeight="1">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ht="15.75" customHeight="1">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ht="15.75" customHeight="1">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ht="15.75" customHeight="1">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ht="15.75" customHeight="1">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ht="15.75" customHeight="1">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ht="15.75" customHeight="1">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ht="15.75" customHeight="1">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ht="15.75" customHeight="1">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ht="15.75" customHeight="1">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ht="15.75" customHeight="1">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ht="15.75" customHeight="1">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ht="15.75" customHeight="1">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ht="15.75" customHeight="1">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ht="15.75" customHeight="1">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ht="15.75" customHeight="1">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ht="15.75" customHeight="1">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ht="15.75" customHeight="1">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ht="15.75" customHeight="1">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ht="15.75" customHeight="1">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ht="15.75" customHeight="1">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ht="15.75" customHeight="1">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ht="15.75" customHeight="1">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ht="15.75" customHeight="1">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ht="15.75" customHeight="1">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ht="15.75" customHeight="1">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ht="15.75" customHeight="1">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ht="15.75" customHeight="1">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ht="15.75" customHeight="1">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ht="15.75" customHeight="1">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ht="15.75" customHeight="1">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ht="15.75" customHeight="1">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ht="15.75" customHeight="1">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ht="15.75" customHeight="1">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ht="15.75" customHeight="1">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ht="15.75" customHeight="1">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ht="15.75" customHeight="1">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ht="15.75" customHeight="1">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ht="15.75" customHeight="1">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ht="15.75" customHeight="1">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ht="15.75" customHeight="1">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ht="15.75" customHeight="1">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ht="15.75" customHeight="1">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ht="15.75" customHeight="1">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ht="15.75" customHeight="1">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ht="15.75" customHeight="1">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ht="15.75" customHeight="1">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ht="15.75" customHeight="1">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ht="15.75" customHeight="1">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ht="15.75" customHeight="1">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ht="15.75" customHeight="1">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ht="15.75" customHeight="1">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ht="15.75" customHeight="1">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ht="15.75" customHeight="1">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ht="15.75" customHeight="1">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ht="15.75" customHeight="1">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ht="15.75" customHeight="1">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ht="15.75" customHeight="1">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row r="995" ht="15.75" customHeight="1">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row>
  </sheetData>
  <printOptions/>
  <pageMargins bottom="0.75" footer="0.0" header="0.0" left="0.7" right="0.7" top="0.75"/>
  <pageSetup paperSize="9" orientation="portrait"/>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9"/>
    <col customWidth="1" min="2" max="2" width="20.43"/>
    <col customWidth="1" min="3" max="3" width="12.57"/>
    <col customWidth="1" min="4" max="4" width="21.0"/>
    <col customWidth="1" min="5" max="5" width="14.29"/>
    <col customWidth="1" min="6" max="6" width="25.0"/>
    <col customWidth="1" min="7" max="7" width="25.86"/>
    <col customWidth="1" min="8" max="8" width="20.86"/>
    <col customWidth="1" min="9" max="9" width="10.71"/>
    <col customWidth="1" min="10" max="10" width="9.0"/>
    <col customWidth="1" min="12" max="12" width="22.57"/>
    <col customWidth="1" min="13" max="13" width="18.14"/>
    <col customWidth="1" min="14" max="14" width="17.57"/>
  </cols>
  <sheetData>
    <row r="1" ht="15.75" customHeight="1">
      <c r="A1" s="48">
        <v>2.0</v>
      </c>
    </row>
    <row r="2" ht="15.75" customHeight="1">
      <c r="B2" s="135" t="s">
        <v>169</v>
      </c>
      <c r="C2" s="136"/>
      <c r="D2" s="136"/>
      <c r="E2" s="136"/>
      <c r="F2" s="136"/>
      <c r="G2" s="136"/>
      <c r="H2" s="136"/>
      <c r="I2" s="136"/>
    </row>
    <row r="3" ht="15.75" customHeight="1">
      <c r="B3" s="137" t="s">
        <v>170</v>
      </c>
      <c r="C3" s="137" t="s">
        <v>171</v>
      </c>
      <c r="D3" s="137" t="s">
        <v>172</v>
      </c>
      <c r="E3" s="137" t="s">
        <v>173</v>
      </c>
      <c r="F3" s="137" t="s">
        <v>174</v>
      </c>
      <c r="G3" s="137" t="s">
        <v>175</v>
      </c>
      <c r="H3" s="137" t="s">
        <v>176</v>
      </c>
      <c r="I3" s="137" t="s">
        <v>121</v>
      </c>
    </row>
    <row r="4" ht="15.75" customHeight="1">
      <c r="B4" s="53" t="s">
        <v>177</v>
      </c>
      <c r="C4" s="54">
        <v>4.0</v>
      </c>
      <c r="D4" s="53">
        <f>M6*(1+feriepengesats)*M12</f>
        <v>2464</v>
      </c>
      <c r="E4" s="53">
        <f>D4*2*C4</f>
        <v>19712</v>
      </c>
      <c r="F4" s="53">
        <v>5.0</v>
      </c>
      <c r="G4" s="53">
        <v>4.0</v>
      </c>
      <c r="H4" s="53">
        <f>(E14*F4+G4*F14)*C4</f>
        <v>46000</v>
      </c>
      <c r="I4" s="138">
        <f t="shared" ref="I4:I8" si="1">H4-E4</f>
        <v>26288</v>
      </c>
      <c r="L4" s="139" t="s">
        <v>178</v>
      </c>
      <c r="M4" s="140"/>
      <c r="N4" s="140"/>
    </row>
    <row r="5" ht="15.75" customHeight="1">
      <c r="B5" s="54" t="s">
        <v>179</v>
      </c>
      <c r="C5" s="54">
        <v>4.0</v>
      </c>
      <c r="D5" s="141">
        <f>M6*(1+feriepengesats)*N12</f>
        <v>560</v>
      </c>
      <c r="E5" s="53">
        <f>D5*C5</f>
        <v>2240</v>
      </c>
      <c r="F5" s="54">
        <v>10.0</v>
      </c>
      <c r="G5" s="53"/>
      <c r="H5" s="53">
        <f>(F5*G18)*C5</f>
        <v>14000</v>
      </c>
      <c r="I5" s="138">
        <f t="shared" si="1"/>
        <v>11760</v>
      </c>
      <c r="L5" s="142" t="s">
        <v>170</v>
      </c>
      <c r="M5" s="143" t="s">
        <v>180</v>
      </c>
      <c r="N5" s="144" t="s">
        <v>181</v>
      </c>
    </row>
    <row r="6" ht="15.75" customHeight="1">
      <c r="B6" s="53" t="s">
        <v>182</v>
      </c>
      <c r="C6" s="54">
        <v>2.0</v>
      </c>
      <c r="D6" s="53">
        <f>210*(1+feriepengesats)*M13</f>
        <v>3057.6</v>
      </c>
      <c r="E6" s="53">
        <f t="shared" ref="E6:E8" si="2">D6*2*C6</f>
        <v>12230.4</v>
      </c>
      <c r="F6" s="54">
        <v>7.0</v>
      </c>
      <c r="G6" s="53">
        <v>3.0</v>
      </c>
      <c r="H6" s="53">
        <f>(G15*F6+H15*G6)*C6</f>
        <v>34400</v>
      </c>
      <c r="I6" s="138">
        <f t="shared" si="1"/>
        <v>22169.6</v>
      </c>
      <c r="L6" s="145" t="s">
        <v>183</v>
      </c>
      <c r="M6" s="146">
        <v>200.0</v>
      </c>
      <c r="N6" s="147"/>
    </row>
    <row r="7" ht="15.75" customHeight="1">
      <c r="B7" s="148" t="s">
        <v>184</v>
      </c>
      <c r="C7" s="54">
        <v>1.0</v>
      </c>
      <c r="D7" s="148">
        <f>M8*(1+feriepengesats)*M14</f>
        <v>3449.6</v>
      </c>
      <c r="E7" s="53">
        <f t="shared" si="2"/>
        <v>6899.2</v>
      </c>
      <c r="F7" s="149">
        <v>8.0</v>
      </c>
      <c r="G7" s="149">
        <v>2.0</v>
      </c>
      <c r="H7" s="148">
        <f>(F7*G16*C7)+(C7*G7*H16)</f>
        <v>30200</v>
      </c>
      <c r="I7" s="150">
        <f t="shared" si="1"/>
        <v>23300.8</v>
      </c>
      <c r="J7" s="53"/>
      <c r="L7" s="151" t="s">
        <v>182</v>
      </c>
      <c r="M7" s="152">
        <v>220.0</v>
      </c>
      <c r="N7" s="153">
        <v>200.0</v>
      </c>
      <c r="O7" s="154" t="s">
        <v>185</v>
      </c>
      <c r="P7" s="155"/>
      <c r="Q7" s="155"/>
    </row>
    <row r="8" ht="15.75" customHeight="1">
      <c r="B8" s="149" t="s">
        <v>186</v>
      </c>
      <c r="C8" s="149">
        <v>2.0</v>
      </c>
      <c r="D8" s="53">
        <f>210*(1+feriepengesats)*M16</f>
        <v>3763.2</v>
      </c>
      <c r="E8" s="53">
        <f t="shared" si="2"/>
        <v>15052.8</v>
      </c>
      <c r="F8" s="149">
        <v>4.0</v>
      </c>
      <c r="G8" s="149">
        <v>5.0</v>
      </c>
      <c r="H8" s="148">
        <f>(G17*F8+G8*H17)*C8</f>
        <v>41400</v>
      </c>
      <c r="I8" s="150">
        <f t="shared" si="1"/>
        <v>26347.2</v>
      </c>
      <c r="L8" s="151" t="s">
        <v>184</v>
      </c>
      <c r="M8" s="156">
        <v>220.0</v>
      </c>
      <c r="N8" s="144">
        <v>220.0</v>
      </c>
    </row>
    <row r="9" ht="15.75" customHeight="1">
      <c r="B9" s="157" t="s">
        <v>187</v>
      </c>
      <c r="C9" s="157"/>
      <c r="D9" s="157"/>
      <c r="E9" s="157">
        <f>SUM(E4:E8)</f>
        <v>56134.4</v>
      </c>
      <c r="F9" s="157"/>
      <c r="G9" s="157"/>
      <c r="H9" s="157">
        <f t="shared" ref="H9:I9" si="3">SUM(H4:H8)</f>
        <v>166000</v>
      </c>
      <c r="I9" s="158">
        <f t="shared" si="3"/>
        <v>109865.6</v>
      </c>
      <c r="L9" s="159" t="s">
        <v>188</v>
      </c>
      <c r="M9" s="160">
        <v>220.0</v>
      </c>
      <c r="N9" s="161">
        <v>200.0</v>
      </c>
    </row>
    <row r="10" ht="15.75" customHeight="1">
      <c r="L10" s="162"/>
      <c r="M10" s="163"/>
      <c r="N10" s="162"/>
    </row>
    <row r="11" ht="15.75" customHeight="1">
      <c r="L11" s="164" t="s">
        <v>170</v>
      </c>
      <c r="M11" s="165" t="s">
        <v>189</v>
      </c>
      <c r="N11" s="166"/>
    </row>
    <row r="12" ht="15.75" customHeight="1">
      <c r="B12" s="167" t="s">
        <v>190</v>
      </c>
      <c r="L12" s="145" t="s">
        <v>183</v>
      </c>
      <c r="M12" s="165">
        <v>11.0</v>
      </c>
      <c r="N12" s="168">
        <v>2.5</v>
      </c>
    </row>
    <row r="13" ht="15.75" customHeight="1">
      <c r="B13" s="169" t="s">
        <v>170</v>
      </c>
      <c r="C13" s="137" t="s">
        <v>191</v>
      </c>
      <c r="D13" s="137" t="s">
        <v>192</v>
      </c>
      <c r="E13" s="137" t="s">
        <v>193</v>
      </c>
      <c r="F13" s="137" t="s">
        <v>194</v>
      </c>
      <c r="G13" s="137" t="s">
        <v>195</v>
      </c>
      <c r="H13" s="137" t="s">
        <v>196</v>
      </c>
      <c r="I13" s="137" t="s">
        <v>197</v>
      </c>
      <c r="L13" s="151" t="s">
        <v>182</v>
      </c>
      <c r="M13" s="48">
        <v>13.0</v>
      </c>
      <c r="N13" s="170"/>
    </row>
    <row r="14" ht="15.75" customHeight="1">
      <c r="B14" s="53" t="s">
        <v>177</v>
      </c>
      <c r="C14" s="53">
        <v>1000.0</v>
      </c>
      <c r="D14" s="53">
        <v>1400.0</v>
      </c>
      <c r="E14" s="53">
        <v>1100.0</v>
      </c>
      <c r="F14" s="53">
        <v>1500.0</v>
      </c>
      <c r="L14" s="145" t="s">
        <v>198</v>
      </c>
      <c r="M14" s="48">
        <v>14.0</v>
      </c>
      <c r="N14" s="170"/>
    </row>
    <row r="15" ht="15.75" customHeight="1">
      <c r="B15" s="53" t="s">
        <v>199</v>
      </c>
      <c r="G15" s="54">
        <v>1600.0</v>
      </c>
      <c r="H15" s="53">
        <v>2000.0</v>
      </c>
      <c r="I15" s="53" t="s">
        <v>200</v>
      </c>
      <c r="L15" s="171" t="s">
        <v>201</v>
      </c>
      <c r="M15" s="48" t="s">
        <v>202</v>
      </c>
      <c r="N15" s="170"/>
    </row>
    <row r="16" ht="15.75" customHeight="1">
      <c r="B16" s="53" t="s">
        <v>203</v>
      </c>
      <c r="G16" s="54">
        <v>2900.0</v>
      </c>
      <c r="H16" s="54">
        <v>3500.0</v>
      </c>
      <c r="I16" s="48" t="s">
        <v>204</v>
      </c>
      <c r="L16" s="159" t="s">
        <v>188</v>
      </c>
      <c r="M16" s="49">
        <v>16.0</v>
      </c>
      <c r="N16" s="172"/>
    </row>
    <row r="17" ht="15.75" customHeight="1">
      <c r="B17" s="54" t="s">
        <v>186</v>
      </c>
      <c r="G17" s="54">
        <v>2300.0</v>
      </c>
      <c r="H17" s="54">
        <v>2300.0</v>
      </c>
    </row>
    <row r="18" ht="15.75" customHeight="1">
      <c r="B18" s="48" t="s">
        <v>179</v>
      </c>
      <c r="G18" s="48">
        <v>350.0</v>
      </c>
      <c r="H18" s="48">
        <v>350.0</v>
      </c>
      <c r="I18" s="48" t="s">
        <v>205</v>
      </c>
    </row>
    <row r="19" ht="15.75" customHeight="1"/>
    <row r="20" ht="15.75" customHeight="1"/>
    <row r="21" ht="15.75" customHeight="1">
      <c r="B21" s="173"/>
      <c r="C21" s="53"/>
      <c r="D21" s="53"/>
      <c r="E21" s="54"/>
      <c r="F21" s="54"/>
      <c r="G21" s="53"/>
      <c r="H21" s="54"/>
      <c r="I21" s="53"/>
    </row>
    <row r="22" ht="15.75" customHeight="1">
      <c r="B22" s="54" t="s">
        <v>206</v>
      </c>
      <c r="E22" s="48" t="s">
        <v>207</v>
      </c>
      <c r="F22" s="48" t="s">
        <v>208</v>
      </c>
      <c r="G22" s="48" t="s">
        <v>187</v>
      </c>
      <c r="H22" s="47"/>
      <c r="I22" s="174"/>
    </row>
    <row r="23" ht="15.75" customHeight="1">
      <c r="B23" s="48" t="s">
        <v>209</v>
      </c>
      <c r="E23" s="48">
        <v>9700.0</v>
      </c>
      <c r="F23" s="48">
        <v>1.0</v>
      </c>
      <c r="G23" s="48">
        <v>9700.0</v>
      </c>
    </row>
    <row r="24" ht="15.75" customHeight="1">
      <c r="B24" s="49" t="s">
        <v>210</v>
      </c>
      <c r="C24" s="175"/>
      <c r="D24" s="175"/>
      <c r="E24" s="49">
        <v>600.0</v>
      </c>
      <c r="F24" s="49">
        <v>3.0</v>
      </c>
      <c r="G24" s="175">
        <f>E24*F24</f>
        <v>1800</v>
      </c>
    </row>
    <row r="25" ht="15.75" customHeight="1">
      <c r="F25" s="176" t="s">
        <v>211</v>
      </c>
      <c r="G25" s="58">
        <f>SUM(G23:G24)</f>
        <v>11500</v>
      </c>
    </row>
    <row r="26" ht="15.75" customHeight="1">
      <c r="B26" s="48"/>
      <c r="I26" s="48"/>
    </row>
    <row r="27" ht="15.75" customHeight="1">
      <c r="G27" s="48" t="s">
        <v>212</v>
      </c>
    </row>
    <row r="28" ht="15.75" customHeight="1"/>
    <row r="29" ht="15.75" customHeight="1">
      <c r="B29" s="177" t="s">
        <v>213</v>
      </c>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71"/>
    <col customWidth="1" min="2" max="3" width="9.0"/>
    <col customWidth="1" min="4" max="4" width="26.86"/>
    <col customWidth="1" min="5" max="5" width="12.86"/>
    <col customWidth="1" min="6" max="8" width="9.0"/>
    <col customWidth="1" min="9" max="9" width="10.0"/>
  </cols>
  <sheetData>
    <row r="1" ht="15.75" customHeight="1">
      <c r="B1" s="178" t="s">
        <v>214</v>
      </c>
      <c r="C1" s="175"/>
      <c r="D1" s="175"/>
      <c r="E1" s="175"/>
      <c r="F1" s="175"/>
      <c r="G1" s="175" t="s">
        <v>187</v>
      </c>
      <c r="I1" s="49" t="s">
        <v>215</v>
      </c>
      <c r="J1" s="175"/>
      <c r="K1" s="175"/>
      <c r="L1" s="175"/>
    </row>
    <row r="2" ht="15.75" customHeight="1">
      <c r="B2" s="54" t="s">
        <v>216</v>
      </c>
      <c r="G2" s="53">
        <f>G17</f>
        <v>97164</v>
      </c>
      <c r="I2" s="179" t="s">
        <v>217</v>
      </c>
    </row>
    <row r="3" ht="15.75" customHeight="1">
      <c r="B3" s="48" t="s">
        <v>218</v>
      </c>
      <c r="G3" s="180">
        <f>G22</f>
        <v>36075</v>
      </c>
      <c r="I3" s="48" t="s">
        <v>219</v>
      </c>
    </row>
    <row r="4" ht="15.75" customHeight="1">
      <c r="B4" s="54" t="s">
        <v>220</v>
      </c>
      <c r="C4" s="181"/>
      <c r="E4" s="53"/>
      <c r="F4" s="53"/>
      <c r="G4" s="54">
        <v>30000.0</v>
      </c>
      <c r="I4" s="48" t="s">
        <v>221</v>
      </c>
    </row>
    <row r="5" ht="15.75" customHeight="1">
      <c r="B5" s="54" t="s">
        <v>222</v>
      </c>
      <c r="G5" s="54">
        <v>95000.0</v>
      </c>
      <c r="I5" s="48" t="s">
        <v>223</v>
      </c>
    </row>
    <row r="6" ht="15.75" customHeight="1">
      <c r="B6" s="48" t="s">
        <v>224</v>
      </c>
      <c r="F6" s="179"/>
      <c r="G6" s="179">
        <v>10000.0</v>
      </c>
      <c r="I6" s="48" t="s">
        <v>225</v>
      </c>
    </row>
    <row r="7" ht="15.75" customHeight="1">
      <c r="B7" s="182" t="s">
        <v>187</v>
      </c>
      <c r="C7" s="182"/>
      <c r="D7" s="182"/>
      <c r="E7" s="182"/>
      <c r="F7" s="182"/>
      <c r="G7" s="182">
        <f>SUM(G2:G6)</f>
        <v>268239</v>
      </c>
    </row>
    <row r="8" ht="15.75" customHeight="1">
      <c r="B8" s="183"/>
      <c r="G8" s="47"/>
    </row>
    <row r="9" ht="15.75" customHeight="1">
      <c r="I9" s="179"/>
    </row>
    <row r="10" ht="15.75" customHeight="1">
      <c r="C10" s="53" t="s">
        <v>226</v>
      </c>
    </row>
    <row r="11" ht="15.75" customHeight="1"/>
    <row r="12" ht="15.75" customHeight="1"/>
    <row r="13" ht="15.75" customHeight="1">
      <c r="J13" s="184"/>
    </row>
    <row r="14" ht="15.75" customHeight="1">
      <c r="B14" s="185" t="s">
        <v>227</v>
      </c>
      <c r="C14" s="186"/>
      <c r="D14" s="186"/>
      <c r="E14" s="187" t="s">
        <v>208</v>
      </c>
      <c r="F14" s="187" t="s">
        <v>228</v>
      </c>
      <c r="G14" s="186"/>
      <c r="I14" s="47"/>
    </row>
    <row r="15" ht="15.75" customHeight="1">
      <c r="C15" s="181" t="s">
        <v>229</v>
      </c>
      <c r="E15" s="54">
        <v>90.0</v>
      </c>
      <c r="F15" s="54">
        <v>950.0</v>
      </c>
      <c r="G15" s="53">
        <f t="shared" ref="G15:G16" si="1">F15*E15</f>
        <v>85500</v>
      </c>
    </row>
    <row r="16" ht="15.75" customHeight="1">
      <c r="C16" s="188" t="s">
        <v>230</v>
      </c>
      <c r="D16" s="175"/>
      <c r="E16" s="189">
        <v>54.0</v>
      </c>
      <c r="F16" s="189">
        <v>216.0</v>
      </c>
      <c r="G16" s="136">
        <f t="shared" si="1"/>
        <v>11664</v>
      </c>
    </row>
    <row r="17" ht="15.75" customHeight="1">
      <c r="C17" s="182"/>
      <c r="D17" s="182"/>
      <c r="E17" s="182"/>
      <c r="F17" s="182" t="s">
        <v>165</v>
      </c>
      <c r="G17" s="182">
        <f>SUM(G15:G16)</f>
        <v>97164</v>
      </c>
    </row>
    <row r="18" ht="15.75" customHeight="1">
      <c r="J18" s="48"/>
    </row>
    <row r="19" ht="15.75" customHeight="1"/>
    <row r="20" ht="15.75" customHeight="1"/>
    <row r="21" ht="15.75" customHeight="1">
      <c r="B21" s="185" t="s">
        <v>231</v>
      </c>
      <c r="C21" s="190"/>
      <c r="D21" s="186"/>
      <c r="E21" s="186"/>
      <c r="F21" s="186"/>
      <c r="G21" s="186"/>
    </row>
    <row r="22" ht="15.75" customHeight="1">
      <c r="C22" s="191" t="s">
        <v>232</v>
      </c>
      <c r="E22" s="54">
        <v>195.0</v>
      </c>
      <c r="F22" s="54">
        <v>185.0</v>
      </c>
      <c r="G22" s="136">
        <f>F22*E22</f>
        <v>36075</v>
      </c>
      <c r="I22" s="48" t="s">
        <v>233</v>
      </c>
    </row>
    <row r="23" ht="15.75" customHeight="1"/>
    <row r="24" ht="15.75" customHeight="1"/>
    <row r="25" ht="15.75" customHeight="1">
      <c r="B25" s="179" t="s">
        <v>234</v>
      </c>
      <c r="E25" s="47" t="s">
        <v>235</v>
      </c>
    </row>
    <row r="26" ht="15.75" customHeight="1">
      <c r="C26" s="181" t="s">
        <v>229</v>
      </c>
      <c r="E26" s="47">
        <f>F15+F22</f>
        <v>1135</v>
      </c>
    </row>
    <row r="27" ht="15.75" customHeight="1">
      <c r="C27" s="181" t="s">
        <v>230</v>
      </c>
      <c r="E27" s="47">
        <f>F16+F22</f>
        <v>401</v>
      </c>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35.14"/>
  </cols>
  <sheetData>
    <row r="2">
      <c r="A2" s="192" t="s">
        <v>236</v>
      </c>
    </row>
    <row r="3">
      <c r="A3" s="47" t="s">
        <v>237</v>
      </c>
      <c r="C3" s="179">
        <v>525.0</v>
      </c>
    </row>
    <row r="4">
      <c r="A4" s="53" t="s">
        <v>238</v>
      </c>
      <c r="C4" s="54">
        <v>652.0</v>
      </c>
    </row>
    <row r="5">
      <c r="A5" s="53" t="s">
        <v>239</v>
      </c>
      <c r="C5" s="54">
        <v>800.0</v>
      </c>
    </row>
    <row r="6">
      <c r="A6" s="54" t="s">
        <v>240</v>
      </c>
      <c r="C6" s="54">
        <v>2342.0</v>
      </c>
    </row>
    <row r="7">
      <c r="A7" s="53" t="s">
        <v>241</v>
      </c>
      <c r="C7" s="54">
        <v>748.0</v>
      </c>
    </row>
    <row r="8">
      <c r="A8" s="53" t="s">
        <v>242</v>
      </c>
      <c r="C8" s="54">
        <v>334.0</v>
      </c>
    </row>
    <row r="9">
      <c r="A9" s="53" t="s">
        <v>243</v>
      </c>
      <c r="C9" s="54">
        <v>765.0</v>
      </c>
    </row>
    <row r="10">
      <c r="A10" s="54" t="s">
        <v>244</v>
      </c>
      <c r="C10" s="54">
        <v>1910.0</v>
      </c>
    </row>
    <row r="11">
      <c r="A11" s="193" t="s">
        <v>187</v>
      </c>
      <c r="B11" s="194"/>
      <c r="C11" s="193">
        <f>SUM(C3:C10)</f>
        <v>8076</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4.57"/>
    <col customWidth="1" min="2" max="2" width="24.71"/>
    <col customWidth="1" min="3" max="3" width="19.43"/>
  </cols>
  <sheetData>
    <row r="1">
      <c r="B1" s="53"/>
    </row>
    <row r="2">
      <c r="B2" s="54" t="s">
        <v>245</v>
      </c>
      <c r="D2" s="53"/>
      <c r="F2" s="53"/>
    </row>
    <row r="3">
      <c r="B3" s="53"/>
      <c r="D3" s="53"/>
      <c r="F3" s="47"/>
    </row>
    <row r="4">
      <c r="B4" s="195" t="s">
        <v>246</v>
      </c>
      <c r="C4" s="196"/>
      <c r="D4" s="196"/>
      <c r="E4" s="196"/>
      <c r="F4" s="166"/>
    </row>
    <row r="5">
      <c r="B5" s="197" t="s">
        <v>247</v>
      </c>
      <c r="C5" s="48">
        <v>10000.0</v>
      </c>
      <c r="D5" s="54" t="s">
        <v>248</v>
      </c>
      <c r="F5" s="170"/>
    </row>
    <row r="6">
      <c r="B6" s="171" t="s">
        <v>249</v>
      </c>
      <c r="C6" s="48">
        <v>15000.0</v>
      </c>
      <c r="D6" s="48" t="s">
        <v>250</v>
      </c>
      <c r="F6" s="170"/>
    </row>
    <row r="7">
      <c r="B7" s="171" t="s">
        <v>251</v>
      </c>
      <c r="C7" s="48">
        <v>15000.0</v>
      </c>
      <c r="D7" s="48" t="s">
        <v>252</v>
      </c>
      <c r="F7" s="170"/>
      <c r="K7" s="174"/>
      <c r="L7" s="198"/>
      <c r="M7" s="198"/>
    </row>
    <row r="8">
      <c r="B8" s="171" t="s">
        <v>253</v>
      </c>
      <c r="C8" s="48">
        <v>5000.0</v>
      </c>
      <c r="D8" s="48" t="s">
        <v>254</v>
      </c>
      <c r="F8" s="170"/>
    </row>
    <row r="9">
      <c r="B9" s="199"/>
      <c r="F9" s="170"/>
    </row>
    <row r="10">
      <c r="B10" s="200" t="s">
        <v>187</v>
      </c>
      <c r="C10" s="175">
        <f>SUM(C5:C9)</f>
        <v>45000</v>
      </c>
      <c r="D10" s="175"/>
      <c r="E10" s="175"/>
      <c r="F10" s="172"/>
    </row>
    <row r="13">
      <c r="B13" s="201" t="s">
        <v>255</v>
      </c>
      <c r="C13" s="202"/>
    </row>
    <row r="14">
      <c r="B14" s="203" t="s">
        <v>256</v>
      </c>
      <c r="C14" s="204">
        <v>10000.0</v>
      </c>
    </row>
    <row r="15">
      <c r="B15" s="203" t="s">
        <v>257</v>
      </c>
      <c r="C15" s="205">
        <v>7000.0</v>
      </c>
    </row>
    <row r="16">
      <c r="B16" s="206" t="s">
        <v>258</v>
      </c>
      <c r="C16" s="207">
        <v>3000.0</v>
      </c>
      <c r="F16" s="208"/>
    </row>
    <row r="17">
      <c r="B17" s="48" t="s">
        <v>165</v>
      </c>
      <c r="C17" s="180">
        <f>SUM(C14:C16)</f>
        <v>20000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2021-11-04T08:43:36Z</dcterms:created>
  <dc:creator>Sjoerd Boersma</dc:creator>
</cp:coreProperties>
</file>